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v7.4 · comparativo" sheetId="1" state="visible" r:id="rId3"/>
    <sheet name="Arkansas State University" sheetId="2" state="visible" r:id="rId4"/>
    <sheet name="Texas State University" sheetId="3" state="visible" r:id="rId5"/>
    <sheet name="Eventos Elisia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<sst xmlns="http://schemas.openxmlformats.org/spreadsheetml/2006/main" count="310" uniqueCount="165">
  <si>
    <t xml:space="preserve">Control EEH 2027 · v7.4 · Meta aprobada</t>
  </si>
  <si>
    <t xml:space="preserve">Mismo presupuesto ($23,850,000) y mismo reparto por mes que la v7.4. Website Leads de octubre a julio sigue el reparto por calidad de la v7.2 (costo por lead validado 2026), con techo de 1.4 veces su mejor mes de 2026; la diferencia sale de Formularios del mismo mes, así que Meta no cambia. Además: (1) agosto y septiembre de Arkansas y de Texas cuentan con los leads reales (fila 55 de cada pestaña; bloques O37:P45 en Arkansas y O37:P44 en Texas; Elisia de septiembre con su real, Eventos Elisia C18); (2) SUPUESTO: el costo por lead de octubre a julio baja el % de la celda P92 en SEM, PMax, Forms, Website y WhatsApp (filas 93–97, D–M). Con eso Arkansas llega a la meta del Escenario 3 v3 (ver D21). Eventos, Texas, Eventos Elisia y marzo sin cambio.</t>
  </si>
  <si>
    <t xml:space="preserve">Celdas cambiadas: amarillo. En la pestaña Arkansas, el presupuesto lleva el ajuste como +delta al final de la fórmula (fila 24 = neto del mes), P92 = ajuste de CPL, filas 93–97 D–M = CPA de Felipe × (1 − P92), O37:P45 = conteo del ciclo con ago–sep real.</t>
  </si>
  <si>
    <t xml:space="preserve">1 · v3 aprobado contra v7.4, por universidad (cada universidad con su parte de Eventos Elisia)</t>
  </si>
  <si>
    <t xml:space="preserve">Concepto</t>
  </si>
  <si>
    <t xml:space="preserve">v3 Esc. 3 (aprobado)</t>
  </si>
  <si>
    <t xml:space="preserve">v7.4</t>
  </si>
  <si>
    <t xml:space="preserve">v7.4 − v3</t>
  </si>
  <si>
    <t xml:space="preserve">Arkansas · presupuesto</t>
  </si>
  <si>
    <t xml:space="preserve">Arkansas · leads (ago–sep real)</t>
  </si>
  <si>
    <t xml:space="preserve">Arkansas · inscritos</t>
  </si>
  <si>
    <t xml:space="preserve">Texas · presupuesto</t>
  </si>
  <si>
    <t xml:space="preserve">Texas · leads (ago–sep real)</t>
  </si>
  <si>
    <t xml:space="preserve">Texas · inscritos</t>
  </si>
  <si>
    <t xml:space="preserve">NYIT · presupuesto</t>
  </si>
  <si>
    <t xml:space="preserve">NYIT · leads</t>
  </si>
  <si>
    <t xml:space="preserve">NYIT · inscritos</t>
  </si>
  <si>
    <t xml:space="preserve">Total Grupo Elisia · presupuesto</t>
  </si>
  <si>
    <t xml:space="preserve">Total Grupo Elisia · leads</t>
  </si>
  <si>
    <t xml:space="preserve">Total Grupo Elisia · inscritos</t>
  </si>
  <si>
    <t xml:space="preserve">Meta Arkansas (v3 Esc. 3)</t>
  </si>
  <si>
    <t xml:space="preserve">Arkansas v7.4 contra la meta (≥ 0 = llega)</t>
  </si>
  <si>
    <t xml:space="preserve">Fuente: v3 = MODELO_ESC3_v3_PUBLICADA-091526.xlsx. Arkansas = «MAPA del artifact» fila 12. En el Escenario 3, Texas y NYIT van juntos en la bolsa « NYIT + Texas» (castigo ya aplicado: 5,479.0 leads contra 5,967.2 de las dos hojas «sin eventos», factor 0.9182) y sus eventos en «Elisia Eventos TX-NY». Aquí se separan así: cada universidad = su hoja «sin eventos» × factor de castigo + su parte de Elisia TX-NY (filas 15–16, 27–28). Texas + NYIT suma exacto la bolsa del v3. v7.4: Arkansas = pestaña Arkansas P41 (ago–sep real + oct–jul + Elisia); Texas = hoja de Felipe sin cambio de presupuesto ni CPA, con ago–sep real (pestaña Texas P42: fila 55 + Elisia sep real C18 + su parte de Eventos Elisia oct–jul); NYIT no está en el control de Felipe: se toma del Escenario 3, igual al v3. Inscritos = leads × tasa del embudo de cada hoja (fila 44 ÷ fila 36).</t>
  </si>
  <si>
    <t xml:space="preserve">2 · Arkansas v7.4: de dónde salen los leads del ciclo</t>
  </si>
  <si>
    <t xml:space="preserve">Leads</t>
  </si>
  <si>
    <t xml:space="preserve">Nota</t>
  </si>
  <si>
    <t xml:space="preserve">Ago–sep real (fila 55)</t>
  </si>
  <si>
    <t xml:space="preserve">Real de Felipe al 30-sep-2026</t>
  </si>
  <si>
    <t xml:space="preserve">Ago–sep en el plan (fila 36, B:C) — ya no se usa</t>
  </si>
  <si>
    <t xml:space="preserve">Referencia</t>
  </si>
  <si>
    <t xml:space="preserve">Diferencia real − plan en ago–sep</t>
  </si>
  <si>
    <t xml:space="preserve">Leads ya perdidos</t>
  </si>
  <si>
    <t xml:space="preserve">Oct–jul proyección con ajuste de CPL (fila 36, D:M)</t>
  </si>
  <si>
    <t xml:space="preserve">CPA × (1 − P92) en filas 93–97</t>
  </si>
  <si>
    <t xml:space="preserve">Oct–jul proyección SIN ajuste de CPL</t>
  </si>
  <si>
    <t xml:space="preserve">Mismo reparto, CPA de Felipe</t>
  </si>
  <si>
    <t xml:space="preserve">Aporte de Eventos Elisia (regla de conteo)</t>
  </si>
  <si>
    <t xml:space="preserve">Arkansas no aporta a Elisia en ago–sep</t>
  </si>
  <si>
    <t xml:space="preserve">Leads del ciclo v7.4</t>
  </si>
  <si>
    <t xml:space="preserve">Leads del ciclo SIN ajuste de CPL</t>
  </si>
  <si>
    <t xml:space="preserve">Faltan sin ajuste de CPL</t>
  </si>
  <si>
    <t xml:space="preserve">Ajuste de CPL oct–jul (P92)</t>
  </si>
  <si>
    <t xml:space="preserve">Mínimo en pasos de 0.1 pp</t>
  </si>
  <si>
    <t xml:space="preserve">Con 0.1 pp menos de ajuste, Arkansas llegaría a</t>
  </si>
  <si>
    <t xml:space="preserve">Debe quedar abajo de la meta</t>
  </si>
  <si>
    <t xml:space="preserve">Fuente: pestaña «Arkansas State University» de este archivo: fila 55 (real), filas 30–36 (proyección), P92 (ajuste), O37:P45 (conteo); Eventos Elisia fila 38 (CPA de Elisia).</t>
  </si>
  <si>
    <t xml:space="preserve">3 · Arkansas mes a mes: v3 aprobado contra v7.4</t>
  </si>
  <si>
    <t xml:space="preserve">Total</t>
  </si>
  <si>
    <t xml:space="preserve">Presupuesto v3 Esc. 3</t>
  </si>
  <si>
    <t xml:space="preserve">Presupuesto v7.4</t>
  </si>
  <si>
    <t xml:space="preserve">Δ presupuesto v7.4 − v3</t>
  </si>
  <si>
    <t xml:space="preserve">Leads v3 Esc. 3</t>
  </si>
  <si>
    <t xml:space="preserve">Leads v7.4 (ago–sep REAL; oct–jul proyección + Elisia)</t>
  </si>
  <si>
    <t xml:space="preserve">Δ leads v7.4 − v3</t>
  </si>
  <si>
    <t xml:space="preserve">Inscritos v3 Esc. 3</t>
  </si>
  <si>
    <t xml:space="preserve">Inscritos v7.4 (leads × N44/N36)</t>
  </si>
  <si>
    <t xml:space="preserve">Fuente: v3 = «Arkansas Final SAS» filas 21, 32 y 40. v7.4 = pestaña Arkansas: fila 23 (presupuesto); ago–sep = fila 55 (real, en amarillo); oct–jul = fila 36 + fila 26 ÷ CPA de Elisia (Eventos Elisia fila 38). Marzo-27: Semana Santa (21–28 mar 2027), criterio de Enrique Rocha.</t>
  </si>
  <si>
    <t xml:space="preserve">4 · Contraste: CPA oct–jul de la v7.4 contra lo visto en 2026 y en 2025</t>
  </si>
  <si>
    <t xml:space="preserve">Canal</t>
  </si>
  <si>
    <t xml:space="preserve">CPA hoja Felipe oct–jul (sin ajuste)</t>
  </si>
  <si>
    <t xml:space="preserve">CPA v7.4 oct–jul (con ajuste)</t>
  </si>
  <si>
    <t xml:space="preserve">CPL real 2026 ene–sep (Datorama + Salesforce)</t>
  </si>
  <si>
    <t xml:space="preserve">CPL real ago–sep 2026 (leads de la hoja ÷ gasto Datorama)</t>
  </si>
  <si>
    <t xml:space="preserve">Histórico 2025 de la hoja (filas 103–107, oct–jul)</t>
  </si>
  <si>
    <t xml:space="preserve">v7.4 vs real 2026</t>
  </si>
  <si>
    <t xml:space="preserve">v7.4 vs ago–sep 2026</t>
  </si>
  <si>
    <t xml:space="preserve">v7.4 vs 2025</t>
  </si>
  <si>
    <t xml:space="preserve">Google SEM</t>
  </si>
  <si>
    <t xml:space="preserve">Google PMax</t>
  </si>
  <si>
    <t xml:space="preserve">Meta: FB/IG Forms</t>
  </si>
  <si>
    <t xml:space="preserve">Meta: Website Leads</t>
  </si>
  <si>
    <t xml:space="preserve">Meta: WhatsApp (por conversación)</t>
  </si>
  <si>
    <t xml:space="preserve">Fuente: CPA v7.4 = presupuesto oct–jul ÷ leads oct–jul de la pestaña Arkansas (filas 16–20 y 30–34; promedio ponderado por presupuesto). Real 2026 = gasto de Datorama congelado 2-oct-2026 (Datorama_Arkansas_Plataformas) ÷ leads de Salesforce (TR_Huge_100226) atribuidos por nombre de campaña, misma clasificación que motor_canal.py; sin YouTube ni PMax de eventos; Website = campañas genéricas. WhatsApp = costo por conversación: gasto ÷ conversaciones de Genjo (whatsapp_leads.json; no hay serie de ene a may-2026). Ago–sep 2026 = gasto de Datorama ÷ leads reales de la hoja de Felipe (filas 49–53; WhatsApp 971 y 1,789 conversaciones). Histórico 2025 = filas 103–107 de la hoja de Felipe, ponderado con el presupuesto oct–jul de la v7.4; no lleva el GAP de costos de la fila 92. Ojo: el histórico de Website (fila 106) coincide con el CPA proyectado de PMax de 2025 (fila 94 ÷ 1+GAP).</t>
  </si>
  <si>
    <t xml:space="preserve">5 · Eventos por universidad (Open Day propio + aporte a Eventos Elisia): v3 contra v7.4</t>
  </si>
  <si>
    <t xml:space="preserve">Universidad</t>
  </si>
  <si>
    <t xml:space="preserve">Presupuesto v3</t>
  </si>
  <si>
    <t xml:space="preserve">Δ presupuesto</t>
  </si>
  <si>
    <t xml:space="preserve">Leads v3</t>
  </si>
  <si>
    <t xml:space="preserve">Leads v7.4</t>
  </si>
  <si>
    <t xml:space="preserve">Δ leads</t>
  </si>
  <si>
    <t xml:space="preserve">Arkansas (Open Day/Tryouts, fila 21; leads ago–sep real)</t>
  </si>
  <si>
    <t xml:space="preserve">Texas (Open Day, fila 21; leads ago–sep real)</t>
  </si>
  <si>
    <t xml:space="preserve">NYIT (Escenario 3, igual al v3)</t>
  </si>
  <si>
    <t xml:space="preserve">Fuente: v3 = «Arkansas Final SAS» fila 19 y 31 (Arkansas opera sus eventos dentro de su hoja) y «Elisia Eventos TX-NY» filas 15–16 y 27–28 (Texas y NYIT). v7.4 = pestaña Arkansas fila 21 (total, incluye el 40% que aporta a Elisia) y Texas fila 21; leads = propios + los que cada una recupera de Eventos Elisia. La pestaña «Eventos Elisia» de este archivo junta sólo Arkansas y Texas (N5 = aporte de las dos); NYIT no aporta.</t>
  </si>
  <si>
    <t xml:space="preserve">6 · Arkansas por canal y mes (oct-26 a jul-27), v7.4</t>
  </si>
  <si>
    <t xml:space="preserve">Presupuesto Felipe 1-oct</t>
  </si>
  <si>
    <t xml:space="preserve">Meta: WhatsApp</t>
  </si>
  <si>
    <t xml:space="preserve">Open Day/Tryouts (sin cambio)</t>
  </si>
  <si>
    <t xml:space="preserve">Δ presupuesto v7.4 − Felipe</t>
  </si>
  <si>
    <t xml:space="preserve">Fuente: pestaña «Arkansas State University» filas 16–21 (presupuesto) y 30–35 (leads) contra Felipe 1-oct (control_100426.xlsx). WhatsApp cuenta al 10% (fila 34). Open Day: sólo la parte propia de Arkansas (fila 35).</t>
  </si>
  <si>
    <t xml:space="preserve">7 · Gasto por plataforma y cambio contra el mes previo (Arkansas, sin eventos)</t>
  </si>
  <si>
    <t xml:space="preserve">Google (SEM + PMax)</t>
  </si>
  <si>
    <t xml:space="preserve">   cambio vs mes previo</t>
  </si>
  <si>
    <t xml:space="preserve">Meta (Forms + Website + WhatsApp + Interacciones)</t>
  </si>
  <si>
    <t xml:space="preserve">Regla real: de octubre a julio (oct→nov … jun→jul) cada canal cambia máximo 30% contra el mes anterior y cada plataforma 25%, salvo donde la hoja de Felipe ya trae el salto (febrero). El paso de septiembre a octubre NO entra en la regla: octubre parte del monto de Felipe, y ahí la caída es mayor (ver columna oct-26). Fuente: pestaña Arkansas filas 16–20 y 22.</t>
  </si>
  <si>
    <t xml:space="preserve">8 · Controles (deben decir OK)</t>
  </si>
  <si>
    <t xml:space="preserve">Presupuesto Arkansas N23 = 14,750,000</t>
  </si>
  <si>
    <t xml:space="preserve">Presupuesto Arkansas por fila igual a la v7.3 salvo Forms y Website (filas 16, 17, 20–24); Forms + Website igual cada mes</t>
  </si>
  <si>
    <t xml:space="preserve">Website oct–jul = reparto por calidad v7.2 con techo de 1.4× su mejor mes de 2026</t>
  </si>
  <si>
    <t xml:space="preserve">Marzo-27 = $921,875 (igual a la v7.1)</t>
  </si>
  <si>
    <t xml:space="preserve">Eventos Arkansas y aporte a Elisia iguales (filas 21, 25, 26)</t>
  </si>
  <si>
    <t xml:space="preserve">Leads Open Day Arkansas iguales (fila 35)</t>
  </si>
  <si>
    <t xml:space="preserve">CPA Open Day (fila 98) y CPA de ago–sep (B:C, filas 93–98) iguales a Felipe</t>
  </si>
  <si>
    <t xml:space="preserve">CPA oct–jul (filas 93–97, D–M) = Felipe × (1 − P92)</t>
  </si>
  <si>
    <t xml:space="preserve">Texas: presupuesto 5,200,000 y leads (N36) iguales</t>
  </si>
  <si>
    <t xml:space="preserve">Texas: presupuesto por fila igual (filas 16–26)</t>
  </si>
  <si>
    <t xml:space="preserve">Ago–sep de Texas = real (fila 55: 635.3 + 877.3) y Elisia sep = real (78)</t>
  </si>
  <si>
    <t xml:space="preserve">Eventos Elisia: presupuesto (N5) y leads (N13) iguales</t>
  </si>
  <si>
    <t xml:space="preserve">Ago–sep de Arkansas = real (fila 55): 589.1 + 1,416.9</t>
  </si>
  <si>
    <t xml:space="preserve">Arkansas ≥ meta v3 (16,769.37)</t>
  </si>
  <si>
    <t xml:space="preserve">El ajuste P92 es el mínimo (0.1 pp menos no llega)</t>
  </si>
  <si>
    <t xml:space="preserve">Total Grupo Elisia: presupuesto 23,850,000 igual al v3</t>
  </si>
  <si>
    <t xml:space="preserve">Fuente: este archivo; valores de referencia de la v7.1 y de Felipe 1-oct escritos como constantes dentro de cada control.</t>
  </si>
  <si>
    <t xml:space="preserve">Plataforma / Modelo</t>
  </si>
  <si>
    <t xml:space="preserve">Alto</t>
  </si>
  <si>
    <t xml:space="preserve">Medio</t>
  </si>
  <si>
    <t xml:space="preserve">Bajo</t>
  </si>
  <si>
    <t xml:space="preserve">Restante Anual</t>
  </si>
  <si>
    <t xml:space="preserve">%</t>
  </si>
  <si>
    <t xml:space="preserve">Disposición</t>
  </si>
  <si>
    <t xml:space="preserve">Meses</t>
  </si>
  <si>
    <t xml:space="preserve">Media</t>
  </si>
  <si>
    <t xml:space="preserve">Meta: Whatsapp</t>
  </si>
  <si>
    <t xml:space="preserve">Open Day/Tryouts</t>
  </si>
  <si>
    <t xml:space="preserve">Interacciones</t>
  </si>
  <si>
    <t xml:space="preserve">Presupuestos</t>
  </si>
  <si>
    <t xml:space="preserve">Totales</t>
  </si>
  <si>
    <t xml:space="preserve">CPL</t>
  </si>
  <si>
    <t xml:space="preserve">Plataforma</t>
  </si>
  <si>
    <t xml:space="preserve">Ajustes presupuestales (v7.1: neto del mes)</t>
  </si>
  <si>
    <t xml:space="preserve">Eventos Arkansas</t>
  </si>
  <si>
    <t xml:space="preserve">Aporte Elisia</t>
  </si>
  <si>
    <t xml:space="preserve">Proyección Leads</t>
  </si>
  <si>
    <t xml:space="preserve">Presupuesto</t>
  </si>
  <si>
    <t xml:space="preserve">Conteo del ciclo v7.4 (ago–sep real + oct–jul proyección)</t>
  </si>
  <si>
    <t xml:space="preserve">Leads ago–sep REAL (fila 55, B:C)</t>
  </si>
  <si>
    <t xml:space="preserve">Leads oct–jul proyección (fila 36, D:M)</t>
  </si>
  <si>
    <t xml:space="preserve">Aporte de Eventos Elisia (regla de conteo, oct–jul)</t>
  </si>
  <si>
    <t xml:space="preserve">Leads Arkansas del ciclo v7.4</t>
  </si>
  <si>
    <t xml:space="preserve">Diferencia contra la meta (≥ 0 = llega)</t>
  </si>
  <si>
    <t xml:space="preserve">Inscritos Arkansas v7.4 (leads × N44/N36)</t>
  </si>
  <si>
    <t xml:space="preserve">Nota: N36 de Felipe sigue sumando el plan de ago–sep (B36:C36). La v7.4 cuenta el ciclo con P41.</t>
  </si>
  <si>
    <t xml:space="preserve">Cumplimiento Leads</t>
  </si>
  <si>
    <t xml:space="preserve">Total Leads</t>
  </si>
  <si>
    <t xml:space="preserve">Porcentajes de Cumplimiento</t>
  </si>
  <si>
    <t xml:space="preserve">Actualizacion</t>
  </si>
  <si>
    <t xml:space="preserve">Inicio Mes</t>
  </si>
  <si>
    <t xml:space="preserve">Fin Mes</t>
  </si>
  <si>
    <t xml:space="preserve">Porcentaje del Mes</t>
  </si>
  <si>
    <t xml:space="preserve">Index de Entrega</t>
  </si>
  <si>
    <t xml:space="preserve">Proyección CPA</t>
  </si>
  <si>
    <t xml:space="preserve">v7.4: Website Leads oct–jul con el reparto por calidad de la v7.2 (costo por lead validado 2026), con techo de 1.4 veces su mejor mes de 2026; la diferencia sale de Forms del mismo mes (fila 19 +Δ, fila 18 −Δ).</t>
  </si>
  <si>
    <t xml:space="preserve">GAP de Costos</t>
  </si>
  <si>
    <t xml:space="preserve">Ajuste CPL oct–jul (v7.4)</t>
  </si>
  <si>
    <t xml:space="preserve">SUPUESTO: el CPA de octubre a julio baja P92 en SEM, PMax, Forms, Website y WhatsApp (filas 93–97, columnas D–M = CPA de Felipe × (1 − P92)). Open Day (fila 98), ago y sep sin cambio. Es el mínimo, en pasos de 0.1 pp, que lleva a Arkansas a la meta con ago–sep real (P41 ≥ P42).</t>
  </si>
  <si>
    <t xml:space="preserve">Historico CPA</t>
  </si>
  <si>
    <t xml:space="preserve">Total Anual</t>
  </si>
  <si>
    <t xml:space="preserve">Ajustes Presupuestales</t>
  </si>
  <si>
    <t xml:space="preserve">Eventos Texas</t>
  </si>
  <si>
    <t xml:space="preserve">Eventos Elisia sep REAL (Eventos Elisia C18; en sep todo el aporte es de Texas)</t>
  </si>
  <si>
    <t xml:space="preserve">Aporte de Eventos Elisia oct–jul (regla de conteo)</t>
  </si>
  <si>
    <t xml:space="preserve">Leads Texas del ciclo v7.4</t>
  </si>
  <si>
    <t xml:space="preserve">Inscritos Texas v7.4 (leads × N44/N36)</t>
  </si>
  <si>
    <t xml:space="preserve">Nota: N36 de Felipe sigue sumando el plan de ago–sep (B36:C36). La v7.4 cuenta el ciclo con P42.</t>
  </si>
  <si>
    <t xml:space="preserve">Presupuetos</t>
  </si>
</sst>
</file>

<file path=xl/styles.xml><?xml version="1.0" encoding="utf-8"?>
<styleSheet xmlns="http://schemas.openxmlformats.org/spreadsheetml/2006/main">
  <numFmts count="17">
    <numFmt numFmtId="164" formatCode="General"/>
    <numFmt numFmtId="165" formatCode="#,##0"/>
    <numFmt numFmtId="166" formatCode="\+#,##0;\-#,##0;0"/>
    <numFmt numFmtId="167" formatCode="#,##0.0"/>
    <numFmt numFmtId="168" formatCode="\+#,##0.0;\-#,##0.0;0.0"/>
    <numFmt numFmtId="169" formatCode="\−0.0%"/>
    <numFmt numFmtId="170" formatCode="mm/yy"/>
    <numFmt numFmtId="171" formatCode="\+0.0%;\-0.0%;0.0%"/>
    <numFmt numFmtId="172" formatCode="\+0%;\-0%;0%"/>
    <numFmt numFmtId="173" formatCode="[$$]#,##0"/>
    <numFmt numFmtId="174" formatCode="\$#,##0"/>
    <numFmt numFmtId="175" formatCode="0.0%"/>
    <numFmt numFmtId="176" formatCode="0%"/>
    <numFmt numFmtId="177" formatCode="mmm\-yyyy"/>
    <numFmt numFmtId="178" formatCode="d\-mmm\-yyyy"/>
    <numFmt numFmtId="179" formatCode="\$#,##0.0"/>
    <numFmt numFmtId="180" formatCode="0.00%"/>
  </numFmts>
  <fonts count="1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9"/>
      <color rgb="FF555555"/>
      <name val="Cambria"/>
      <family val="0"/>
      <charset val="1"/>
    </font>
    <font>
      <b val="true"/>
      <sz val="10"/>
      <color theme="1"/>
      <name val="Calibri"/>
      <family val="0"/>
      <charset val="1"/>
    </font>
    <font>
      <sz val="10"/>
      <color theme="1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color rgb="FF000000"/>
      <name val="Calibri"/>
      <family val="0"/>
      <charset val="1"/>
    </font>
    <font>
      <sz val="11"/>
      <color theme="1"/>
      <name val="Calibri"/>
      <family val="0"/>
      <charset val="1"/>
    </font>
    <font>
      <sz val="11"/>
      <color theme="1"/>
      <name val="Arial"/>
      <family val="0"/>
      <charset val="1"/>
    </font>
    <font>
      <sz val="11"/>
      <name val="Cambria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1"/>
      <color theme="1"/>
      <name val="Calibri"/>
      <family val="0"/>
      <charset val="1"/>
    </font>
  </fonts>
  <fills count="24">
    <fill>
      <patternFill patternType="none"/>
    </fill>
    <fill>
      <patternFill patternType="gray125"/>
    </fill>
    <fill>
      <patternFill patternType="solid">
        <fgColor rgb="FFE7ECF3"/>
        <bgColor rgb="FFEFEFEF"/>
      </patternFill>
    </fill>
    <fill>
      <patternFill patternType="solid">
        <fgColor rgb="FFFFF2CC"/>
        <bgColor rgb="FFEFEFEF"/>
      </patternFill>
    </fill>
    <fill>
      <patternFill patternType="solid">
        <fgColor rgb="FFFFC000"/>
        <bgColor rgb="FFFF9900"/>
      </patternFill>
    </fill>
    <fill>
      <patternFill patternType="solid">
        <fgColor rgb="FFB6D7A8"/>
        <bgColor rgb="FFB7E1CD"/>
      </patternFill>
    </fill>
    <fill>
      <patternFill patternType="solid">
        <fgColor rgb="FFFFE599"/>
        <bgColor rgb="FFFFD966"/>
      </patternFill>
    </fill>
    <fill>
      <patternFill patternType="solid">
        <fgColor rgb="FF9FC5E8"/>
        <bgColor rgb="FFA2C4C9"/>
      </patternFill>
    </fill>
    <fill>
      <patternFill patternType="solid">
        <fgColor rgb="FFFFFFFF"/>
        <bgColor rgb="FFEFEFEF"/>
      </patternFill>
    </fill>
    <fill>
      <patternFill patternType="solid">
        <fgColor rgb="FFFF9900"/>
        <bgColor rgb="FFFFC000"/>
      </patternFill>
    </fill>
    <fill>
      <patternFill patternType="solid">
        <fgColor rgb="FFFFD966"/>
        <bgColor rgb="FFFFE599"/>
      </patternFill>
    </fill>
    <fill>
      <patternFill patternType="solid">
        <fgColor rgb="FFD9EAD3"/>
        <bgColor rgb="FFD0E0E3"/>
      </patternFill>
    </fill>
    <fill>
      <patternFill patternType="solid">
        <fgColor rgb="FFD9D2E9"/>
        <bgColor rgb="FFD9D9D9"/>
      </patternFill>
    </fill>
    <fill>
      <patternFill patternType="solid">
        <fgColor rgb="FFB4A7D6"/>
        <bgColor rgb="FFA5A5A5"/>
      </patternFill>
    </fill>
    <fill>
      <patternFill patternType="solid">
        <fgColor rgb="FFD9D9D9"/>
        <bgColor rgb="FFD9D2E9"/>
      </patternFill>
    </fill>
    <fill>
      <patternFill patternType="solid">
        <fgColor rgb="FFEFEFEF"/>
        <bgColor rgb="FFE7ECF3"/>
      </patternFill>
    </fill>
    <fill>
      <patternFill patternType="solid">
        <fgColor rgb="FFA2C4C9"/>
        <bgColor rgb="FF9FC5E8"/>
      </patternFill>
    </fill>
    <fill>
      <patternFill patternType="solid">
        <fgColor rgb="FFD0E0E3"/>
        <bgColor rgb="FFD9D9D9"/>
      </patternFill>
    </fill>
    <fill>
      <patternFill patternType="solid">
        <fgColor rgb="FFF6B26B"/>
        <bgColor rgb="FFFFD966"/>
      </patternFill>
    </fill>
    <fill>
      <patternFill patternType="solid">
        <fgColor rgb="FF0B5394"/>
        <bgColor rgb="FF003366"/>
      </patternFill>
    </fill>
    <fill>
      <patternFill patternType="solid">
        <fgColor rgb="FF3D85C6"/>
        <bgColor rgb="FF008080"/>
      </patternFill>
    </fill>
    <fill>
      <patternFill patternType="solid">
        <fgColor rgb="FFA5A5A5"/>
        <bgColor rgb="FFB4A7D6"/>
      </patternFill>
    </fill>
    <fill>
      <patternFill patternType="solid">
        <fgColor rgb="FF93C47D"/>
        <bgColor rgb="FFA2C4C9"/>
      </patternFill>
    </fill>
    <fill>
      <patternFill patternType="solid">
        <fgColor rgb="FFF4CCCC"/>
        <bgColor rgb="FFD9D2E9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3" fontId="7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3" fontId="7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3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7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5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5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6" fontId="7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6" fontId="7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11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5" fontId="10" fillId="11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9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9" fillId="6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9" fillId="7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5" fontId="9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5" fontId="9" fillId="6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5" fontId="9" fillId="7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1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6" fontId="7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7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7" fillId="1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7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7" fillId="1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7" fontId="7" fillId="1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8" fillId="1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1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8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8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11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8" fillId="1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8" fillId="1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1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11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7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8" fillId="7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8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7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16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7" fillId="1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7" fillId="17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7" fillId="17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17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8" fillId="17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17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1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1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8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8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11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11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11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17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7" fillId="1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17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7" fillId="17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7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7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6" fontId="7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1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1" fillId="11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1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1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1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5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5" fontId="8" fillId="8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5" fontId="8" fillId="8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5" fontId="8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5" fontId="8" fillId="11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5" fontId="8" fillId="11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5" fontId="8" fillId="11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5" fontId="8" fillId="1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8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5" fontId="8" fillId="1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19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8" fontId="14" fillId="2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1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8" fontId="8" fillId="15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5" fontId="8" fillId="15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5" fontId="8" fillId="15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5" fontId="7" fillId="2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7" fillId="2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5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9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9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9" fontId="8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9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9" fontId="8" fillId="8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9" fontId="8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9" fontId="8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9" fontId="8" fillId="7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9" fontId="8" fillId="7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7" fillId="1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7" fillId="1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7" fillId="1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8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1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8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8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11" fillId="8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8" fillId="1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11" fillId="11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4" fontId="11" fillId="7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15" fillId="17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8" fillId="17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11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6" fontId="7" fillId="11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11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11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11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6" fontId="7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7" fontId="7" fillId="1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9" fontId="8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9" fontId="8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9" fontId="8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9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4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2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8" fillId="11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11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0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80" fontId="7" fillId="2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0" fontId="7" fillId="2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B7E1CD"/>
        </patternFill>
      </fill>
    </dxf>
    <dxf>
      <fill>
        <patternFill>
          <bgColor rgb="FFF4CCCC"/>
        </patternFill>
      </fill>
    </dxf>
    <dxf>
      <fill>
        <patternFill>
          <bgColor rgb="FF9FC5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D966"/>
      <rgbColor rgb="FFFF00FF"/>
      <rgbColor rgb="FF00FFFF"/>
      <rgbColor rgb="FF800000"/>
      <rgbColor rgb="FF38761D"/>
      <rgbColor rgb="FF000080"/>
      <rgbColor rgb="FF808000"/>
      <rgbColor rgb="FF800080"/>
      <rgbColor rgb="FF008080"/>
      <rgbColor rgb="FFA2C4C9"/>
      <rgbColor rgb="FF808080"/>
      <rgbColor rgb="FFB6D7A8"/>
      <rgbColor rgb="FF993366"/>
      <rgbColor rgb="FFFFF2CC"/>
      <rgbColor rgb="FFE7ECF3"/>
      <rgbColor rgb="FF660066"/>
      <rgbColor rgb="FFD9D9D9"/>
      <rgbColor rgb="FF0B5394"/>
      <rgbColor rgb="FFD9D2E9"/>
      <rgbColor rgb="FF000080"/>
      <rgbColor rgb="FFFF00FF"/>
      <rgbColor rgb="FFD0E0E3"/>
      <rgbColor rgb="FF00FFFF"/>
      <rgbColor rgb="FF800080"/>
      <rgbColor rgb="FF800000"/>
      <rgbColor rgb="FF008080"/>
      <rgbColor rgb="FF0000FF"/>
      <rgbColor rgb="FF00CCFF"/>
      <rgbColor rgb="FFEFEFEF"/>
      <rgbColor rgb="FFD9EAD3"/>
      <rgbColor rgb="FFFFE599"/>
      <rgbColor rgb="FF9FC5E8"/>
      <rgbColor rgb="FFF6B26B"/>
      <rgbColor rgb="FFB4A7D6"/>
      <rgbColor rgb="FFF4CCCC"/>
      <rgbColor rgb="FF3D85C6"/>
      <rgbColor rgb="FFB7E1CD"/>
      <rgbColor rgb="FF93C47D"/>
      <rgbColor rgb="FFFFC000"/>
      <rgbColor rgb="FFFF9900"/>
      <rgbColor rgb="FFFF6600"/>
      <rgbColor rgb="FF555555"/>
      <rgbColor rgb="FFA5A5A5"/>
      <rgbColor rgb="FF003366"/>
      <rgbColor rgb="FF6AA84F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8"/>
    <col collapsed="false" customWidth="true" hidden="false" outlineLevel="0" max="14" min="2" style="0" width="1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0" t="s">
        <v>1</v>
      </c>
    </row>
    <row r="3" customFormat="false" ht="15" hidden="false" customHeight="false" outlineLevel="0" collapsed="false">
      <c r="A3" s="0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3" t="s">
        <v>4</v>
      </c>
      <c r="B6" s="3" t="s">
        <v>5</v>
      </c>
      <c r="C6" s="3" t="s">
        <v>6</v>
      </c>
      <c r="D6" s="3" t="s">
        <v>7</v>
      </c>
    </row>
    <row r="7" customFormat="false" ht="15" hidden="false" customHeight="false" outlineLevel="0" collapsed="false">
      <c r="A7" s="0" t="s">
        <v>8</v>
      </c>
      <c r="B7" s="4" t="n">
        <v>14750000</v>
      </c>
      <c r="C7" s="4" t="n">
        <f aca="false">'Arkansas State University'!N23</f>
        <v>14750000</v>
      </c>
      <c r="D7" s="5" t="n">
        <f aca="false">C7-B7</f>
        <v>0</v>
      </c>
    </row>
    <row r="8" customFormat="false" ht="15" hidden="false" customHeight="false" outlineLevel="0" collapsed="false">
      <c r="A8" s="0" t="s">
        <v>9</v>
      </c>
      <c r="B8" s="6" t="n">
        <v>16769.3708639256</v>
      </c>
      <c r="C8" s="6" t="n">
        <f aca="false">'Arkansas State University'!P41</f>
        <v>16769.589599598</v>
      </c>
      <c r="D8" s="7" t="n">
        <f aca="false">C8-B8</f>
        <v>0.218735672428011</v>
      </c>
    </row>
    <row r="9" customFormat="false" ht="15" hidden="false" customHeight="false" outlineLevel="0" collapsed="false">
      <c r="A9" s="0" t="s">
        <v>10</v>
      </c>
      <c r="B9" s="6" t="n">
        <v>348.772863257065</v>
      </c>
      <c r="C9" s="6" t="n">
        <f aca="false">'Arkansas State University'!P44</f>
        <v>348.777412567076</v>
      </c>
      <c r="D9" s="7" t="n">
        <f aca="false">C9-B9</f>
        <v>0.00454931001144132</v>
      </c>
    </row>
    <row r="10" customFormat="false" ht="15" hidden="false" customHeight="false" outlineLevel="0" collapsed="false">
      <c r="A10" s="0" t="s">
        <v>11</v>
      </c>
      <c r="B10" s="4" t="n">
        <v>5200000</v>
      </c>
      <c r="C10" s="4" t="n">
        <f aca="false">'Texas State University'!N23</f>
        <v>5200000</v>
      </c>
      <c r="D10" s="5" t="n">
        <f aca="false">C10-B10</f>
        <v>0</v>
      </c>
    </row>
    <row r="11" customFormat="false" ht="15" hidden="false" customHeight="false" outlineLevel="0" collapsed="false">
      <c r="A11" s="0" t="s">
        <v>12</v>
      </c>
      <c r="B11" s="6" t="n">
        <v>5437.15103032063</v>
      </c>
      <c r="C11" s="6" t="n">
        <f aca="false">'Texas State University'!P42</f>
        <v>7043.83168821271</v>
      </c>
      <c r="D11" s="7" t="n">
        <f aca="false">C11-B11</f>
        <v>1606.68065789207</v>
      </c>
    </row>
    <row r="12" customFormat="false" ht="15" hidden="false" customHeight="false" outlineLevel="0" collapsed="false">
      <c r="A12" s="0" t="s">
        <v>13</v>
      </c>
      <c r="B12" s="6" t="n">
        <v>75.4685262450152</v>
      </c>
      <c r="C12" s="6" t="n">
        <f aca="false">'Texas State University'!P43</f>
        <v>97.7695108454625</v>
      </c>
      <c r="D12" s="7" t="n">
        <f aca="false">C12-B12</f>
        <v>22.3009846004472</v>
      </c>
    </row>
    <row r="13" customFormat="false" ht="15" hidden="false" customHeight="false" outlineLevel="0" collapsed="false">
      <c r="A13" s="0" t="s">
        <v>14</v>
      </c>
      <c r="B13" s="4" t="n">
        <v>3900000</v>
      </c>
      <c r="C13" s="4" t="n">
        <f aca="false">B13</f>
        <v>3900000</v>
      </c>
      <c r="D13" s="5" t="n">
        <f aca="false">C13-B13</f>
        <v>0</v>
      </c>
    </row>
    <row r="14" customFormat="false" ht="15" hidden="false" customHeight="false" outlineLevel="0" collapsed="false">
      <c r="A14" s="0" t="s">
        <v>15</v>
      </c>
      <c r="B14" s="6" t="n">
        <v>2126.26640131292</v>
      </c>
      <c r="C14" s="6" t="n">
        <f aca="false">B14</f>
        <v>2126.26640131292</v>
      </c>
      <c r="D14" s="7" t="n">
        <f aca="false">C14-B14</f>
        <v>0</v>
      </c>
    </row>
    <row r="15" customFormat="false" ht="15" hidden="false" customHeight="false" outlineLevel="0" collapsed="false">
      <c r="A15" s="0" t="s">
        <v>16</v>
      </c>
      <c r="B15" s="6" t="n">
        <v>29.5129178528476</v>
      </c>
      <c r="C15" s="6" t="n">
        <f aca="false">B15</f>
        <v>29.5129178528476</v>
      </c>
      <c r="D15" s="7" t="n">
        <f aca="false">C15-B15</f>
        <v>0</v>
      </c>
    </row>
    <row r="16" customFormat="false" ht="15" hidden="false" customHeight="false" outlineLevel="0" collapsed="false">
      <c r="A16" s="2" t="s">
        <v>17</v>
      </c>
      <c r="B16" s="4" t="n">
        <f aca="false">B7+B10+B13</f>
        <v>23850000</v>
      </c>
      <c r="C16" s="4" t="n">
        <f aca="false">C7+C10+C13</f>
        <v>23850000</v>
      </c>
      <c r="D16" s="5" t="n">
        <f aca="false">C16-B16</f>
        <v>0</v>
      </c>
    </row>
    <row r="17" customFormat="false" ht="15" hidden="false" customHeight="false" outlineLevel="0" collapsed="false">
      <c r="A17" s="2" t="s">
        <v>18</v>
      </c>
      <c r="B17" s="6" t="n">
        <f aca="false">B8+B11+B14</f>
        <v>24332.7882955592</v>
      </c>
      <c r="C17" s="6" t="n">
        <f aca="false">C8+C11+C14</f>
        <v>25939.6876891237</v>
      </c>
      <c r="D17" s="7" t="n">
        <f aca="false">C17-B17</f>
        <v>1606.8993935645</v>
      </c>
    </row>
    <row r="18" customFormat="false" ht="15" hidden="false" customHeight="false" outlineLevel="0" collapsed="false">
      <c r="A18" s="2" t="s">
        <v>19</v>
      </c>
      <c r="B18" s="6" t="n">
        <f aca="false">B9+B12+B15</f>
        <v>453.754307354928</v>
      </c>
      <c r="C18" s="6" t="n">
        <f aca="false">C9+C12+C15</f>
        <v>476.059841265386</v>
      </c>
      <c r="D18" s="7" t="n">
        <f aca="false">C18-B18</f>
        <v>22.3055339104587</v>
      </c>
    </row>
    <row r="20" customFormat="false" ht="15" hidden="false" customHeight="false" outlineLevel="0" collapsed="false">
      <c r="A20" s="2" t="s">
        <v>20</v>
      </c>
      <c r="C20" s="6" t="n">
        <v>16769.3708639256</v>
      </c>
    </row>
    <row r="21" customFormat="false" ht="15" hidden="false" customHeight="false" outlineLevel="0" collapsed="false">
      <c r="A21" s="2" t="s">
        <v>21</v>
      </c>
      <c r="C21" s="8" t="n">
        <f aca="false">C8-C20</f>
        <v>0.218735672428011</v>
      </c>
    </row>
    <row r="22" customFormat="false" ht="15" hidden="false" customHeight="false" outlineLevel="0" collapsed="false">
      <c r="A22" s="9" t="s">
        <v>22</v>
      </c>
    </row>
    <row r="24" customFormat="false" ht="15" hidden="false" customHeight="false" outlineLevel="0" collapsed="false">
      <c r="A24" s="2" t="s">
        <v>23</v>
      </c>
    </row>
    <row r="25" customFormat="false" ht="15" hidden="false" customHeight="false" outlineLevel="0" collapsed="false">
      <c r="A25" s="3" t="s">
        <v>4</v>
      </c>
      <c r="B25" s="3" t="s">
        <v>24</v>
      </c>
      <c r="C25" s="3" t="s">
        <v>25</v>
      </c>
    </row>
    <row r="26" customFormat="false" ht="15" hidden="false" customHeight="false" outlineLevel="0" collapsed="false">
      <c r="A26" s="0" t="s">
        <v>26</v>
      </c>
      <c r="B26" s="6" t="n">
        <f aca="false">'Arkansas State University'!P38</f>
        <v>2006</v>
      </c>
      <c r="C26" s="0" t="s">
        <v>27</v>
      </c>
    </row>
    <row r="27" customFormat="false" ht="15" hidden="false" customHeight="false" outlineLevel="0" collapsed="false">
      <c r="A27" s="0" t="s">
        <v>28</v>
      </c>
      <c r="B27" s="6" t="n">
        <f aca="false">SUM('Arkansas State University'!B36:C36)</f>
        <v>2743.55593912573</v>
      </c>
      <c r="C27" s="0" t="s">
        <v>29</v>
      </c>
    </row>
    <row r="28" customFormat="false" ht="15" hidden="false" customHeight="false" outlineLevel="0" collapsed="false">
      <c r="A28" s="0" t="s">
        <v>30</v>
      </c>
      <c r="B28" s="7" t="n">
        <f aca="false">B26-B27</f>
        <v>-737.555939125732</v>
      </c>
      <c r="C28" s="0" t="s">
        <v>31</v>
      </c>
    </row>
    <row r="29" customFormat="false" ht="15" hidden="false" customHeight="false" outlineLevel="0" collapsed="false">
      <c r="A29" s="0" t="s">
        <v>32</v>
      </c>
      <c r="B29" s="6" t="n">
        <f aca="false">'Arkansas State University'!P39</f>
        <v>13875.7232955435</v>
      </c>
      <c r="C29" s="0" t="s">
        <v>33</v>
      </c>
    </row>
    <row r="30" customFormat="false" ht="15" hidden="false" customHeight="false" outlineLevel="0" collapsed="false">
      <c r="A30" s="0" t="s">
        <v>34</v>
      </c>
      <c r="B30" s="6" t="n">
        <f aca="false">SUM('Arkansas State University'!D30:M34)*(1-'Arkansas State University'!P92)+SUM('Arkansas State University'!D35:M35)</f>
        <v>12403.9082595909</v>
      </c>
      <c r="C30" s="0" t="s">
        <v>35</v>
      </c>
    </row>
    <row r="31" customFormat="false" ht="15" hidden="false" customHeight="false" outlineLevel="0" collapsed="false">
      <c r="A31" s="0" t="s">
        <v>36</v>
      </c>
      <c r="B31" s="6" t="n">
        <f aca="false">'Arkansas State University'!P40</f>
        <v>887.866304054547</v>
      </c>
      <c r="C31" s="0" t="s">
        <v>37</v>
      </c>
    </row>
    <row r="32" customFormat="false" ht="15" hidden="false" customHeight="false" outlineLevel="0" collapsed="false">
      <c r="A32" s="2" t="s">
        <v>38</v>
      </c>
      <c r="B32" s="6" t="n">
        <f aca="false">'Arkansas State University'!P41</f>
        <v>16769.589599598</v>
      </c>
    </row>
    <row r="33" customFormat="false" ht="15" hidden="false" customHeight="false" outlineLevel="0" collapsed="false">
      <c r="A33" s="0" t="s">
        <v>39</v>
      </c>
      <c r="B33" s="6" t="n">
        <f aca="false">B26+B30+B31</f>
        <v>15297.7745636455</v>
      </c>
    </row>
    <row r="34" customFormat="false" ht="15" hidden="false" customHeight="false" outlineLevel="0" collapsed="false">
      <c r="A34" s="0" t="s">
        <v>40</v>
      </c>
      <c r="B34" s="7" t="n">
        <f aca="false">C20-B33</f>
        <v>1471.59630028015</v>
      </c>
    </row>
    <row r="35" customFormat="false" ht="15" hidden="false" customHeight="false" outlineLevel="0" collapsed="false">
      <c r="A35" s="0" t="s">
        <v>41</v>
      </c>
      <c r="B35" s="10" t="n">
        <f aca="false">'Arkansas State University'!P92</f>
        <v>0.122</v>
      </c>
      <c r="C35" s="0" t="s">
        <v>42</v>
      </c>
    </row>
    <row r="36" customFormat="false" ht="15" hidden="false" customHeight="false" outlineLevel="0" collapsed="false">
      <c r="A36" s="0" t="s">
        <v>43</v>
      </c>
      <c r="B36" s="6" t="n">
        <f aca="false">B26+B31+SUM('Arkansas State University'!D30:M34)*(1-'Arkansas State University'!P92)/(1-'Arkansas State University'!P92+0.001)+SUM('Arkansas State University'!D35:M35)</f>
        <v>16755.8648468429</v>
      </c>
      <c r="C36" s="0" t="s">
        <v>44</v>
      </c>
    </row>
    <row r="37" customFormat="false" ht="15" hidden="false" customHeight="false" outlineLevel="0" collapsed="false">
      <c r="A37" s="9" t="s">
        <v>45</v>
      </c>
    </row>
    <row r="39" customFormat="false" ht="15" hidden="false" customHeight="false" outlineLevel="0" collapsed="false">
      <c r="A39" s="2" t="s">
        <v>46</v>
      </c>
    </row>
    <row r="40" customFormat="false" ht="15" hidden="false" customHeight="false" outlineLevel="0" collapsed="false">
      <c r="A40" s="3" t="s">
        <v>4</v>
      </c>
      <c r="B40" s="11" t="n">
        <f aca="false">'Arkansas State University'!B14</f>
        <v>46235</v>
      </c>
      <c r="C40" s="11" t="n">
        <f aca="false">'Arkansas State University'!C14</f>
        <v>46266</v>
      </c>
      <c r="D40" s="11" t="n">
        <f aca="false">'Arkansas State University'!D14</f>
        <v>46296</v>
      </c>
      <c r="E40" s="11" t="n">
        <f aca="false">'Arkansas State University'!E14</f>
        <v>46327</v>
      </c>
      <c r="F40" s="11" t="n">
        <f aca="false">'Arkansas State University'!F14</f>
        <v>46357</v>
      </c>
      <c r="G40" s="11" t="n">
        <f aca="false">'Arkansas State University'!G14</f>
        <v>46388</v>
      </c>
      <c r="H40" s="11" t="n">
        <f aca="false">'Arkansas State University'!H14</f>
        <v>46419</v>
      </c>
      <c r="I40" s="11" t="n">
        <f aca="false">'Arkansas State University'!I14</f>
        <v>46447</v>
      </c>
      <c r="J40" s="11" t="n">
        <f aca="false">'Arkansas State University'!J14</f>
        <v>46478</v>
      </c>
      <c r="K40" s="11" t="n">
        <f aca="false">'Arkansas State University'!K14</f>
        <v>46508</v>
      </c>
      <c r="L40" s="11" t="n">
        <f aca="false">'Arkansas State University'!L14</f>
        <v>46539</v>
      </c>
      <c r="M40" s="11" t="n">
        <f aca="false">'Arkansas State University'!M14</f>
        <v>46569</v>
      </c>
      <c r="N40" s="3" t="s">
        <v>47</v>
      </c>
    </row>
    <row r="41" customFormat="false" ht="15" hidden="false" customHeight="false" outlineLevel="0" collapsed="false">
      <c r="A41" s="0" t="s">
        <v>48</v>
      </c>
      <c r="B41" s="4" t="n">
        <v>1000000</v>
      </c>
      <c r="C41" s="4" t="n">
        <v>1770000</v>
      </c>
      <c r="D41" s="4" t="n">
        <v>1770000</v>
      </c>
      <c r="E41" s="4" t="n">
        <v>1770000</v>
      </c>
      <c r="F41" s="4" t="n">
        <v>921875</v>
      </c>
      <c r="G41" s="4" t="n">
        <v>921875</v>
      </c>
      <c r="H41" s="4" t="n">
        <v>1770000</v>
      </c>
      <c r="I41" s="4" t="n">
        <v>921875</v>
      </c>
      <c r="J41" s="4" t="n">
        <v>921875</v>
      </c>
      <c r="K41" s="4" t="n">
        <v>1122500</v>
      </c>
      <c r="L41" s="4" t="n">
        <v>1122500</v>
      </c>
      <c r="M41" s="4" t="n">
        <v>737500</v>
      </c>
      <c r="N41" s="12" t="n">
        <f aca="false">SUM(B41:M41)</f>
        <v>14750000</v>
      </c>
    </row>
    <row r="42" customFormat="false" ht="15" hidden="false" customHeight="false" outlineLevel="0" collapsed="false">
      <c r="A42" s="0" t="s">
        <v>49</v>
      </c>
      <c r="B42" s="4" t="n">
        <f aca="false">'Arkansas State University'!B23</f>
        <v>1000000</v>
      </c>
      <c r="C42" s="4" t="n">
        <f aca="false">'Arkansas State University'!C23</f>
        <v>1770000</v>
      </c>
      <c r="D42" s="4" t="n">
        <f aca="false">'Arkansas State University'!D23</f>
        <v>1397666.66666667</v>
      </c>
      <c r="E42" s="4" t="n">
        <f aca="false">'Arkansas State University'!E23</f>
        <v>1446261.66666667</v>
      </c>
      <c r="F42" s="4" t="n">
        <f aca="false">'Arkansas State University'!F23</f>
        <v>1094373</v>
      </c>
      <c r="G42" s="4" t="n">
        <f aca="false">'Arkansas State University'!G23</f>
        <v>1092715</v>
      </c>
      <c r="H42" s="4" t="n">
        <f aca="false">'Arkansas State University'!H23</f>
        <v>1029231.66666667</v>
      </c>
      <c r="I42" s="4" t="n">
        <f aca="false">'Arkansas State University'!I23</f>
        <v>921875</v>
      </c>
      <c r="J42" s="4" t="n">
        <f aca="false">'Arkansas State University'!J23</f>
        <v>986331</v>
      </c>
      <c r="K42" s="4" t="n">
        <f aca="false">'Arkansas State University'!K23</f>
        <v>1198000</v>
      </c>
      <c r="L42" s="4" t="n">
        <f aca="false">'Arkansas State University'!L23</f>
        <v>1294809</v>
      </c>
      <c r="M42" s="4" t="n">
        <f aca="false">'Arkansas State University'!M23</f>
        <v>1518737</v>
      </c>
      <c r="N42" s="12" t="n">
        <f aca="false">SUM(B42:M42)</f>
        <v>14750000</v>
      </c>
    </row>
    <row r="43" customFormat="false" ht="15" hidden="false" customHeight="false" outlineLevel="0" collapsed="false">
      <c r="A43" s="2" t="s">
        <v>50</v>
      </c>
      <c r="B43" s="5" t="n">
        <f aca="false">B42-B41</f>
        <v>0</v>
      </c>
      <c r="C43" s="5" t="n">
        <f aca="false">C42-C41</f>
        <v>0</v>
      </c>
      <c r="D43" s="5" t="n">
        <f aca="false">D42-D41</f>
        <v>-372333.333333334</v>
      </c>
      <c r="E43" s="5" t="n">
        <f aca="false">E42-E41</f>
        <v>-323738.333333334</v>
      </c>
      <c r="F43" s="5" t="n">
        <f aca="false">F42-F41</f>
        <v>172498</v>
      </c>
      <c r="G43" s="5" t="n">
        <f aca="false">G42-G41</f>
        <v>170840</v>
      </c>
      <c r="H43" s="5" t="n">
        <f aca="false">H42-H41</f>
        <v>-740768.333333334</v>
      </c>
      <c r="I43" s="5" t="n">
        <f aca="false">I42-I41</f>
        <v>0</v>
      </c>
      <c r="J43" s="5" t="n">
        <f aca="false">J42-J41</f>
        <v>64455.9999999999</v>
      </c>
      <c r="K43" s="5" t="n">
        <f aca="false">K42-K41</f>
        <v>75500</v>
      </c>
      <c r="L43" s="5" t="n">
        <f aca="false">L42-L41</f>
        <v>172309</v>
      </c>
      <c r="M43" s="5" t="n">
        <f aca="false">M42-M41</f>
        <v>781237</v>
      </c>
      <c r="N43" s="13" t="n">
        <f aca="false">SUM(B43:M43)</f>
        <v>-5.82076609134674E-010</v>
      </c>
    </row>
    <row r="44" customFormat="false" ht="15" hidden="false" customHeight="false" outlineLevel="0" collapsed="false">
      <c r="A44" s="0" t="s">
        <v>51</v>
      </c>
      <c r="B44" s="6" t="n">
        <v>1063.78783953495</v>
      </c>
      <c r="C44" s="6" t="n">
        <v>1855.15678550609</v>
      </c>
      <c r="D44" s="6" t="n">
        <v>1990.15309409523</v>
      </c>
      <c r="E44" s="6" t="n">
        <v>2200.36971179866</v>
      </c>
      <c r="F44" s="6" t="n">
        <v>1050.36670307136</v>
      </c>
      <c r="G44" s="6" t="n">
        <v>1201.3026457139</v>
      </c>
      <c r="H44" s="6" t="n">
        <v>2021.49074735455</v>
      </c>
      <c r="I44" s="6" t="n">
        <v>1180.77292565606</v>
      </c>
      <c r="J44" s="6" t="n">
        <v>1060.24275907668</v>
      </c>
      <c r="K44" s="6" t="n">
        <v>1228.1920978688</v>
      </c>
      <c r="L44" s="6" t="n">
        <v>1223.02067138424</v>
      </c>
      <c r="M44" s="6" t="n">
        <v>694.514882865133</v>
      </c>
      <c r="N44" s="14" t="n">
        <f aca="false">SUM(B44:M44)</f>
        <v>16769.3708639257</v>
      </c>
    </row>
    <row r="45" customFormat="false" ht="15" hidden="false" customHeight="false" outlineLevel="0" collapsed="false">
      <c r="A45" s="0" t="s">
        <v>52</v>
      </c>
      <c r="B45" s="15" t="n">
        <f aca="false">'Arkansas State University'!B55</f>
        <v>589.1</v>
      </c>
      <c r="C45" s="15" t="n">
        <f aca="false">'Arkansas State University'!C55</f>
        <v>1416.9</v>
      </c>
      <c r="D45" s="6" t="n">
        <f aca="false">'Arkansas State University'!D36+'Arkansas State University'!D26/'Eventos Elisia'!D38</f>
        <v>1827.47795988649</v>
      </c>
      <c r="E45" s="6" t="n">
        <f aca="false">'Arkansas State University'!E36+'Arkansas State University'!E26/'Eventos Elisia'!E38</f>
        <v>1811.6425236531</v>
      </c>
      <c r="F45" s="6" t="n">
        <f aca="false">'Arkansas State University'!F36+'Arkansas State University'!F26/'Eventos Elisia'!F38</f>
        <v>1380.24052151031</v>
      </c>
      <c r="G45" s="6" t="n">
        <f aca="false">'Arkansas State University'!G36+'Arkansas State University'!G26/'Eventos Elisia'!G38</f>
        <v>1449.71427951444</v>
      </c>
      <c r="H45" s="6" t="n">
        <f aca="false">'Arkansas State University'!H36+'Arkansas State University'!H26/'Eventos Elisia'!H38</f>
        <v>1284.60404896989</v>
      </c>
      <c r="I45" s="6" t="n">
        <f aca="false">'Arkansas State University'!I36+'Arkansas State University'!I26/'Eventos Elisia'!I38</f>
        <v>1241.08959477158</v>
      </c>
      <c r="J45" s="6" t="n">
        <f aca="false">'Arkansas State University'!J36+'Arkansas State University'!J26/'Eventos Elisia'!J38</f>
        <v>1226.68050181637</v>
      </c>
      <c r="K45" s="6" t="n">
        <f aca="false">'Arkansas State University'!K36+'Arkansas State University'!K26/'Eventos Elisia'!K38</f>
        <v>1327.32101647068</v>
      </c>
      <c r="L45" s="6" t="n">
        <f aca="false">'Arkansas State University'!L36+'Arkansas State University'!L26/'Eventos Elisia'!L38</f>
        <v>1446.9692571455</v>
      </c>
      <c r="M45" s="6" t="n">
        <f aca="false">'Arkansas State University'!M36+'Arkansas State University'!M26/'Eventos Elisia'!M38</f>
        <v>1767.84989585966</v>
      </c>
      <c r="N45" s="14" t="n">
        <f aca="false">SUM(B45:M45)</f>
        <v>16769.589599598</v>
      </c>
    </row>
    <row r="46" customFormat="false" ht="15" hidden="false" customHeight="false" outlineLevel="0" collapsed="false">
      <c r="A46" s="2" t="s">
        <v>53</v>
      </c>
      <c r="B46" s="7" t="n">
        <f aca="false">B45-B44</f>
        <v>-474.68783953495</v>
      </c>
      <c r="C46" s="7" t="n">
        <f aca="false">C45-C44</f>
        <v>-438.25678550609</v>
      </c>
      <c r="D46" s="7" t="n">
        <f aca="false">D45-D44</f>
        <v>-162.675134208737</v>
      </c>
      <c r="E46" s="7" t="n">
        <f aca="false">E45-E44</f>
        <v>-388.727188145564</v>
      </c>
      <c r="F46" s="7" t="n">
        <f aca="false">F45-F44</f>
        <v>329.873818438954</v>
      </c>
      <c r="G46" s="7" t="n">
        <f aca="false">G45-G44</f>
        <v>248.41163380054</v>
      </c>
      <c r="H46" s="7" t="n">
        <f aca="false">H45-H44</f>
        <v>-736.886698384665</v>
      </c>
      <c r="I46" s="7" t="n">
        <f aca="false">I45-I44</f>
        <v>60.3166691155204</v>
      </c>
      <c r="J46" s="7" t="n">
        <f aca="false">J45-J44</f>
        <v>166.437742739692</v>
      </c>
      <c r="K46" s="7" t="n">
        <f aca="false">K45-K44</f>
        <v>99.1289186018848</v>
      </c>
      <c r="L46" s="7" t="n">
        <f aca="false">L45-L44</f>
        <v>223.948585761265</v>
      </c>
      <c r="M46" s="7" t="n">
        <f aca="false">M45-M44</f>
        <v>1073.33501299452</v>
      </c>
      <c r="N46" s="8" t="n">
        <f aca="false">SUM(B46:M46)</f>
        <v>0.218735672373555</v>
      </c>
    </row>
    <row r="47" customFormat="false" ht="15" hidden="false" customHeight="false" outlineLevel="0" collapsed="false">
      <c r="A47" s="0" t="s">
        <v>54</v>
      </c>
      <c r="B47" s="6" t="n">
        <v>22.1248807545185</v>
      </c>
      <c r="C47" s="6" t="n">
        <v>38.583936697567</v>
      </c>
      <c r="D47" s="6" t="n">
        <v>41.3916180028362</v>
      </c>
      <c r="E47" s="6" t="n">
        <v>45.7637469428885</v>
      </c>
      <c r="F47" s="6" t="n">
        <v>21.8457451667523</v>
      </c>
      <c r="G47" s="6" t="n">
        <v>24.9849422965079</v>
      </c>
      <c r="H47" s="6" t="n">
        <v>42.0433850335553</v>
      </c>
      <c r="I47" s="6" t="n">
        <v>24.5579609085632</v>
      </c>
      <c r="J47" s="6" t="n">
        <v>22.0511494337706</v>
      </c>
      <c r="K47" s="6" t="n">
        <v>25.5441947154317</v>
      </c>
      <c r="L47" s="6" t="n">
        <v>25.436638311749</v>
      </c>
      <c r="M47" s="6" t="n">
        <v>14.4446649929247</v>
      </c>
      <c r="N47" s="14" t="n">
        <f aca="false">SUM(B47:M47)</f>
        <v>348.772863257065</v>
      </c>
    </row>
    <row r="48" customFormat="false" ht="15" hidden="false" customHeight="false" outlineLevel="0" collapsed="false">
      <c r="A48" s="0" t="s">
        <v>55</v>
      </c>
      <c r="B48" s="6" t="n">
        <f aca="false">B45*'Arkansas State University'!$N$44/'Arkansas State University'!$N$36</f>
        <v>12.2522243328</v>
      </c>
      <c r="C48" s="6" t="n">
        <f aca="false">C45*'Arkansas State University'!$N$44/'Arkansas State University'!$N$36</f>
        <v>29.4689809152</v>
      </c>
      <c r="D48" s="6" t="n">
        <f aca="false">D45*'Arkansas State University'!$N$44/'Arkansas State University'!$N$36</f>
        <v>38.0082667251349</v>
      </c>
      <c r="E48" s="6" t="n">
        <f aca="false">E45*'Arkansas State University'!$N$44/'Arkansas State University'!$N$36</f>
        <v>37.678918028582</v>
      </c>
      <c r="F48" s="6" t="n">
        <f aca="false">F45*'Arkansas State University'!$N$44/'Arkansas State University'!$N$36</f>
        <v>28.7065294564</v>
      </c>
      <c r="G48" s="6" t="n">
        <f aca="false">G45*'Arkansas State University'!$N$44/'Arkansas State University'!$N$36</f>
        <v>30.1514591259115</v>
      </c>
      <c r="H48" s="6" t="n">
        <f aca="false">H45*'Arkansas State University'!$N$44/'Arkansas State University'!$N$36</f>
        <v>26.7174622081179</v>
      </c>
      <c r="I48" s="6" t="n">
        <f aca="false">I45*'Arkansas State University'!$N$44/'Arkansas State University'!$N$36</f>
        <v>25.812439538695</v>
      </c>
      <c r="J48" s="6" t="n">
        <f aca="false">J45*'Arkansas State University'!$N$44/'Arkansas State University'!$N$36</f>
        <v>25.5127562263213</v>
      </c>
      <c r="K48" s="6" t="n">
        <f aca="false">K45*'Arkansas State University'!$N$44/'Arkansas State University'!$N$36</f>
        <v>27.6058985833287</v>
      </c>
      <c r="L48" s="6" t="n">
        <f aca="false">L45*'Arkansas State University'!$N$44/'Arkansas State University'!$N$36</f>
        <v>30.0943675797177</v>
      </c>
      <c r="M48" s="6" t="n">
        <f aca="false">M45*'Arkansas State University'!$N$44/'Arkansas State University'!$N$36</f>
        <v>36.7681098468675</v>
      </c>
      <c r="N48" s="14" t="n">
        <f aca="false">SUM(B48:M48)</f>
        <v>348.777412567076</v>
      </c>
    </row>
    <row r="49" customFormat="false" ht="15" hidden="false" customHeight="false" outlineLevel="0" collapsed="false">
      <c r="A49" s="9" t="s">
        <v>56</v>
      </c>
    </row>
    <row r="51" customFormat="false" ht="15" hidden="false" customHeight="false" outlineLevel="0" collapsed="false">
      <c r="A51" s="2" t="s">
        <v>57</v>
      </c>
    </row>
    <row r="52" customFormat="false" ht="15" hidden="false" customHeight="false" outlineLevel="0" collapsed="false">
      <c r="A52" s="3" t="s">
        <v>58</v>
      </c>
      <c r="B52" s="3" t="s">
        <v>59</v>
      </c>
      <c r="C52" s="3" t="s">
        <v>60</v>
      </c>
      <c r="D52" s="3" t="s">
        <v>61</v>
      </c>
      <c r="E52" s="3" t="s">
        <v>62</v>
      </c>
      <c r="F52" s="3" t="s">
        <v>63</v>
      </c>
      <c r="G52" s="3" t="s">
        <v>64</v>
      </c>
      <c r="H52" s="3" t="s">
        <v>65</v>
      </c>
      <c r="I52" s="3" t="s">
        <v>66</v>
      </c>
    </row>
    <row r="53" customFormat="false" ht="15" hidden="false" customHeight="false" outlineLevel="0" collapsed="false">
      <c r="A53" s="0" t="s">
        <v>67</v>
      </c>
      <c r="B53" s="4" t="n">
        <f aca="false">C53/(1-'Arkansas State University'!P92)</f>
        <v>1129.39854825643</v>
      </c>
      <c r="C53" s="4" t="n">
        <f aca="false">SUM('Arkansas State University'!D16:M16)/(SUM('Arkansas State University'!D30:M30))</f>
        <v>991.611925369149</v>
      </c>
      <c r="D53" s="4" t="n">
        <v>1757.75314199396</v>
      </c>
      <c r="E53" s="4" t="n">
        <v>2439.70621621622</v>
      </c>
      <c r="F53" s="4" t="n">
        <f aca="false">SUM('Arkansas State University'!D16:M16)/SUMPRODUCT('Arkansas State University'!D16:M16/'Arkansas State University'!D103:M103)</f>
        <v>1053.82921436658</v>
      </c>
      <c r="G53" s="16" t="n">
        <f aca="false">C53/D53-1</f>
        <v>-0.435863943759313</v>
      </c>
      <c r="H53" s="16" t="n">
        <f aca="false">C53/E53-1</f>
        <v>-0.593552732383058</v>
      </c>
      <c r="I53" s="16" t="n">
        <f aca="false">C53/F53-1</f>
        <v>-0.0590392524227213</v>
      </c>
    </row>
    <row r="54" customFormat="false" ht="15" hidden="false" customHeight="false" outlineLevel="0" collapsed="false">
      <c r="A54" s="0" t="s">
        <v>68</v>
      </c>
      <c r="B54" s="4" t="n">
        <f aca="false">C54/(1-'Arkansas State University'!P92)</f>
        <v>1416.52592419545</v>
      </c>
      <c r="C54" s="4" t="n">
        <f aca="false">SUM('Arkansas State University'!D17:M17)/(SUM('Arkansas State University'!D31:M31))</f>
        <v>1243.70976144361</v>
      </c>
      <c r="D54" s="4" t="n">
        <v>1152.07714737953</v>
      </c>
      <c r="E54" s="4" t="n">
        <v>2085.71021459227</v>
      </c>
      <c r="F54" s="4" t="n">
        <f aca="false">SUM('Arkansas State University'!D17:M17)/SUMPRODUCT('Arkansas State University'!D17:M17/'Arkansas State University'!D104:M104)</f>
        <v>1324.08858976396</v>
      </c>
      <c r="G54" s="16" t="n">
        <f aca="false">C54/D54-1</f>
        <v>0.0795368732662574</v>
      </c>
      <c r="H54" s="16" t="n">
        <f aca="false">C54/E54-1</f>
        <v>-0.403699635384519</v>
      </c>
      <c r="I54" s="16" t="n">
        <f aca="false">C54/F54-1</f>
        <v>-0.0607050230186494</v>
      </c>
    </row>
    <row r="55" customFormat="false" ht="15" hidden="false" customHeight="false" outlineLevel="0" collapsed="false">
      <c r="A55" s="0" t="s">
        <v>69</v>
      </c>
      <c r="B55" s="4" t="n">
        <f aca="false">C55/(1-'Arkansas State University'!P92)</f>
        <v>926.633931288375</v>
      </c>
      <c r="C55" s="4" t="n">
        <f aca="false">SUM('Arkansas State University'!D18:M18)/(SUM('Arkansas State University'!D32:M32))</f>
        <v>813.584591671194</v>
      </c>
      <c r="D55" s="4" t="n">
        <v>1020.59359174846</v>
      </c>
      <c r="E55" s="4" t="n">
        <v>1172.52794715447</v>
      </c>
      <c r="F55" s="4" t="n">
        <f aca="false">SUM('Arkansas State University'!D18:M18)/SUMPRODUCT('Arkansas State University'!D18:M18/'Arkansas State University'!D105:M105)</f>
        <v>865.611154579424</v>
      </c>
      <c r="G55" s="16" t="n">
        <f aca="false">C55/D55-1</f>
        <v>-0.20283196146923</v>
      </c>
      <c r="H55" s="16" t="n">
        <f aca="false">C55/E55-1</f>
        <v>-0.306127761265199</v>
      </c>
      <c r="I55" s="16" t="n">
        <f aca="false">C55/F55-1</f>
        <v>-0.0601038499018746</v>
      </c>
    </row>
    <row r="56" customFormat="false" ht="15" hidden="false" customHeight="false" outlineLevel="0" collapsed="false">
      <c r="A56" s="0" t="s">
        <v>70</v>
      </c>
      <c r="B56" s="4" t="n">
        <f aca="false">C56/(1-'Arkansas State University'!P92)</f>
        <v>1605.79325438538</v>
      </c>
      <c r="C56" s="4" t="n">
        <f aca="false">SUM('Arkansas State University'!D19:M19)/(SUM('Arkansas State University'!D33:M33))</f>
        <v>1409.88647735036</v>
      </c>
      <c r="D56" s="4" t="n">
        <v>2446.15676258993</v>
      </c>
      <c r="E56" s="4" t="n">
        <v>1660.8008411215</v>
      </c>
      <c r="F56" s="4" t="n">
        <f aca="false">SUM('Arkansas State University'!D19:M19)/SUMPRODUCT('Arkansas State University'!D19:M19/'Arkansas State University'!D106:M106)</f>
        <v>1498.81873197925</v>
      </c>
      <c r="G56" s="16" t="n">
        <f aca="false">C56/D56-1</f>
        <v>-0.423632001467637</v>
      </c>
      <c r="H56" s="16" t="n">
        <f aca="false">C56/E56-1</f>
        <v>-0.151080344830328</v>
      </c>
      <c r="I56" s="16" t="n">
        <f aca="false">C56/F56-1</f>
        <v>-0.059334896696584</v>
      </c>
    </row>
    <row r="57" customFormat="false" ht="15" hidden="false" customHeight="false" outlineLevel="0" collapsed="false">
      <c r="A57" s="0" t="s">
        <v>71</v>
      </c>
      <c r="B57" s="4" t="n">
        <f aca="false">C57/(1-'Arkansas State University'!P92)</f>
        <v>91.6629319009604</v>
      </c>
      <c r="C57" s="4" t="n">
        <f aca="false">SUM('Arkansas State University'!D20:M20)/(SUM('Arkansas State University'!D34:M34)*10)</f>
        <v>80.4800542090432</v>
      </c>
      <c r="D57" s="4" t="n">
        <v>146.423014639976</v>
      </c>
      <c r="E57" s="4" t="n">
        <v>142.940811594203</v>
      </c>
      <c r="F57" s="4" t="n">
        <f aca="false">SUM('Arkansas State University'!D20:M20)/SUMPRODUCT('Arkansas State University'!D20:M20/'Arkansas State University'!D107:M107)</f>
        <v>85.5776283837117</v>
      </c>
      <c r="G57" s="16" t="n">
        <f aca="false">C57/D57-1</f>
        <v>-0.450359259390151</v>
      </c>
      <c r="H57" s="16" t="n">
        <f aca="false">C57/E57-1</f>
        <v>-0.436969376964786</v>
      </c>
      <c r="I57" s="16" t="n">
        <f aca="false">C57/F57-1</f>
        <v>-0.0595666679592017</v>
      </c>
    </row>
    <row r="58" customFormat="false" ht="15" hidden="false" customHeight="false" outlineLevel="0" collapsed="false">
      <c r="A58" s="9" t="s">
        <v>72</v>
      </c>
    </row>
    <row r="60" customFormat="false" ht="15" hidden="false" customHeight="false" outlineLevel="0" collapsed="false">
      <c r="A60" s="2" t="s">
        <v>73</v>
      </c>
    </row>
    <row r="61" customFormat="false" ht="15" hidden="false" customHeight="false" outlineLevel="0" collapsed="false">
      <c r="A61" s="3" t="s">
        <v>74</v>
      </c>
      <c r="B61" s="3" t="s">
        <v>75</v>
      </c>
      <c r="C61" s="3" t="s">
        <v>49</v>
      </c>
      <c r="D61" s="3" t="s">
        <v>76</v>
      </c>
      <c r="E61" s="3" t="s">
        <v>77</v>
      </c>
      <c r="F61" s="3" t="s">
        <v>78</v>
      </c>
      <c r="G61" s="3" t="s">
        <v>79</v>
      </c>
    </row>
    <row r="62" customFormat="false" ht="15" hidden="false" customHeight="false" outlineLevel="0" collapsed="false">
      <c r="A62" s="0" t="s">
        <v>80</v>
      </c>
      <c r="B62" s="4" t="n">
        <v>3002600</v>
      </c>
      <c r="C62" s="4" t="n">
        <f aca="false">'Arkansas State University'!N21</f>
        <v>1704120</v>
      </c>
      <c r="D62" s="5" t="n">
        <f aca="false">C62-B62</f>
        <v>-1298480</v>
      </c>
      <c r="E62" s="6" t="n">
        <v>6324.25449775891</v>
      </c>
      <c r="F62" s="6" t="n">
        <f aca="false">SUM('Arkansas State University'!B54:C54)+SUM('Arkansas State University'!D35:M35)+SUMPRODUCT('Arkansas State University'!D26:M26/'Eventos Elisia'!D38:M38)</f>
        <v>2994.53192785561</v>
      </c>
      <c r="G62" s="7" t="n">
        <f aca="false">F62-E62</f>
        <v>-3329.7225699033</v>
      </c>
    </row>
    <row r="63" customFormat="false" ht="15" hidden="false" customHeight="false" outlineLevel="0" collapsed="false">
      <c r="A63" s="0" t="s">
        <v>81</v>
      </c>
      <c r="B63" s="4" t="n">
        <v>1057120</v>
      </c>
      <c r="C63" s="4" t="n">
        <f aca="false">'Texas State University'!N21</f>
        <v>1057120</v>
      </c>
      <c r="D63" s="5" t="n">
        <f aca="false">C63-B63</f>
        <v>0</v>
      </c>
      <c r="E63" s="6" t="n">
        <v>1651.06129431351</v>
      </c>
      <c r="F63" s="6" t="n">
        <f aca="false">SUM('Texas State University'!B54:C54)+SUM('Texas State University'!D35:M35)+'Texas State University'!P40+'Texas State University'!P41</f>
        <v>1531.57762781959</v>
      </c>
      <c r="G63" s="7" t="n">
        <f aca="false">F63-E63</f>
        <v>-119.48366649392</v>
      </c>
    </row>
    <row r="64" customFormat="false" ht="15" hidden="false" customHeight="false" outlineLevel="0" collapsed="false">
      <c r="A64" s="0" t="s">
        <v>82</v>
      </c>
      <c r="B64" s="4" t="n">
        <v>585000</v>
      </c>
      <c r="C64" s="4" t="n">
        <v>585000</v>
      </c>
      <c r="D64" s="5" t="n">
        <f aca="false">C64-B64</f>
        <v>0</v>
      </c>
      <c r="E64" s="6" t="n">
        <v>433.333333333333</v>
      </c>
      <c r="F64" s="6" t="n">
        <v>433.333333333333</v>
      </c>
      <c r="G64" s="7" t="n">
        <f aca="false">F64-E64</f>
        <v>0</v>
      </c>
    </row>
    <row r="65" customFormat="false" ht="15" hidden="false" customHeight="false" outlineLevel="0" collapsed="false">
      <c r="A65" s="2" t="s">
        <v>47</v>
      </c>
      <c r="B65" s="12" t="n">
        <f aca="false">SUM(B62:B64)</f>
        <v>4644720</v>
      </c>
      <c r="C65" s="12" t="n">
        <f aca="false">SUM(C62:C64)</f>
        <v>3346240</v>
      </c>
      <c r="D65" s="12" t="n">
        <f aca="false">SUM(D62:D64)</f>
        <v>-1298480</v>
      </c>
      <c r="E65" s="14" t="n">
        <f aca="false">SUM(E62:E64)</f>
        <v>8408.64912540575</v>
      </c>
      <c r="F65" s="14" t="n">
        <f aca="false">SUM(F62:F64)</f>
        <v>4959.44288900854</v>
      </c>
      <c r="G65" s="14" t="n">
        <f aca="false">SUM(G62:G64)</f>
        <v>-3449.20623639722</v>
      </c>
    </row>
    <row r="66" customFormat="false" ht="15" hidden="false" customHeight="false" outlineLevel="0" collapsed="false">
      <c r="A66" s="9" t="s">
        <v>83</v>
      </c>
    </row>
    <row r="68" customFormat="false" ht="15" hidden="false" customHeight="false" outlineLevel="0" collapsed="false">
      <c r="A68" s="2" t="s">
        <v>84</v>
      </c>
    </row>
    <row r="69" customFormat="false" ht="15" hidden="false" customHeight="false" outlineLevel="0" collapsed="false">
      <c r="A69" s="3" t="s">
        <v>85</v>
      </c>
      <c r="B69" s="11" t="n">
        <f aca="false">'Arkansas State University'!D14</f>
        <v>46296</v>
      </c>
      <c r="C69" s="11" t="n">
        <f aca="false">'Arkansas State University'!E14</f>
        <v>46327</v>
      </c>
      <c r="D69" s="11" t="n">
        <f aca="false">'Arkansas State University'!F14</f>
        <v>46357</v>
      </c>
      <c r="E69" s="11" t="n">
        <f aca="false">'Arkansas State University'!G14</f>
        <v>46388</v>
      </c>
      <c r="F69" s="11" t="n">
        <f aca="false">'Arkansas State University'!H14</f>
        <v>46419</v>
      </c>
      <c r="G69" s="11" t="n">
        <f aca="false">'Arkansas State University'!I14</f>
        <v>46447</v>
      </c>
      <c r="H69" s="11" t="n">
        <f aca="false">'Arkansas State University'!J14</f>
        <v>46478</v>
      </c>
      <c r="I69" s="11" t="n">
        <f aca="false">'Arkansas State University'!K14</f>
        <v>46508</v>
      </c>
      <c r="J69" s="11" t="n">
        <f aca="false">'Arkansas State University'!L14</f>
        <v>46539</v>
      </c>
      <c r="K69" s="11" t="n">
        <f aca="false">'Arkansas State University'!M14</f>
        <v>46569</v>
      </c>
      <c r="L69" s="3" t="s">
        <v>47</v>
      </c>
    </row>
    <row r="70" customFormat="false" ht="15" hidden="false" customHeight="false" outlineLevel="0" collapsed="false">
      <c r="A70" s="0" t="s">
        <v>67</v>
      </c>
      <c r="B70" s="4" t="n">
        <v>69883.33333</v>
      </c>
      <c r="C70" s="4" t="n">
        <v>69883.33333</v>
      </c>
      <c r="D70" s="4" t="n">
        <v>52412.5</v>
      </c>
      <c r="E70" s="4" t="n">
        <v>52412.5</v>
      </c>
      <c r="F70" s="4" t="n">
        <v>69883.33333</v>
      </c>
      <c r="G70" s="4" t="n">
        <v>52412.5</v>
      </c>
      <c r="H70" s="4" t="n">
        <v>52412.5</v>
      </c>
      <c r="I70" s="4" t="n">
        <v>59900</v>
      </c>
      <c r="J70" s="4" t="n">
        <v>59900</v>
      </c>
      <c r="K70" s="4" t="n">
        <v>59900</v>
      </c>
      <c r="L70" s="12" t="n">
        <f aca="false">SUM(B70:K70)</f>
        <v>598999.99999</v>
      </c>
    </row>
    <row r="71" customFormat="false" ht="15" hidden="false" customHeight="false" outlineLevel="0" collapsed="false">
      <c r="A71" s="0" t="s">
        <v>68</v>
      </c>
      <c r="B71" s="4" t="n">
        <v>167720</v>
      </c>
      <c r="C71" s="4" t="n">
        <v>167720</v>
      </c>
      <c r="D71" s="4" t="n">
        <v>125790</v>
      </c>
      <c r="E71" s="4" t="n">
        <v>125790</v>
      </c>
      <c r="F71" s="4" t="n">
        <v>167720</v>
      </c>
      <c r="G71" s="4" t="n">
        <v>125790</v>
      </c>
      <c r="H71" s="4" t="n">
        <v>125790</v>
      </c>
      <c r="I71" s="4" t="n">
        <v>143760</v>
      </c>
      <c r="J71" s="4" t="n">
        <v>143760</v>
      </c>
      <c r="K71" s="4" t="n">
        <v>143760</v>
      </c>
      <c r="L71" s="12" t="n">
        <f aca="false">SUM(B71:K71)</f>
        <v>1437600</v>
      </c>
    </row>
    <row r="72" customFormat="false" ht="15" hidden="false" customHeight="false" outlineLevel="0" collapsed="false">
      <c r="A72" s="0" t="s">
        <v>69</v>
      </c>
      <c r="B72" s="4" t="n">
        <v>824623.3333</v>
      </c>
      <c r="C72" s="4" t="n">
        <v>824623.3333</v>
      </c>
      <c r="D72" s="4" t="n">
        <v>607985</v>
      </c>
      <c r="E72" s="4" t="n">
        <v>607985</v>
      </c>
      <c r="F72" s="4" t="n">
        <v>824623.3333</v>
      </c>
      <c r="G72" s="4" t="n">
        <v>607985</v>
      </c>
      <c r="H72" s="4" t="n">
        <v>607985</v>
      </c>
      <c r="I72" s="4" t="n">
        <v>682860</v>
      </c>
      <c r="J72" s="4" t="n">
        <v>682860</v>
      </c>
      <c r="K72" s="4" t="n">
        <v>682860</v>
      </c>
      <c r="L72" s="12" t="n">
        <f aca="false">SUM(B72:K72)</f>
        <v>6954389.9999</v>
      </c>
    </row>
    <row r="73" customFormat="false" ht="15" hidden="false" customHeight="false" outlineLevel="0" collapsed="false">
      <c r="A73" s="0" t="s">
        <v>70</v>
      </c>
      <c r="B73" s="4" t="n">
        <v>69883.33333</v>
      </c>
      <c r="C73" s="4" t="n">
        <v>69883.33333</v>
      </c>
      <c r="D73" s="4" t="n">
        <v>52412.5</v>
      </c>
      <c r="E73" s="4" t="n">
        <v>52412.5</v>
      </c>
      <c r="F73" s="4" t="n">
        <v>69883.33333</v>
      </c>
      <c r="G73" s="4" t="n">
        <v>52412.5</v>
      </c>
      <c r="H73" s="4" t="n">
        <v>52412.5</v>
      </c>
      <c r="I73" s="4" t="n">
        <v>59900</v>
      </c>
      <c r="J73" s="4" t="n">
        <v>59900</v>
      </c>
      <c r="K73" s="4" t="n">
        <v>59900</v>
      </c>
      <c r="L73" s="12" t="n">
        <f aca="false">SUM(B73:K73)</f>
        <v>598999.99999</v>
      </c>
    </row>
    <row r="74" customFormat="false" ht="15" hidden="false" customHeight="false" outlineLevel="0" collapsed="false">
      <c r="A74" s="0" t="s">
        <v>86</v>
      </c>
      <c r="B74" s="4" t="n">
        <v>125790</v>
      </c>
      <c r="C74" s="4" t="n">
        <v>125790</v>
      </c>
      <c r="D74" s="4" t="n">
        <v>83860</v>
      </c>
      <c r="E74" s="4" t="n">
        <v>83860</v>
      </c>
      <c r="F74" s="4" t="n">
        <v>125790</v>
      </c>
      <c r="G74" s="4" t="n">
        <v>83860</v>
      </c>
      <c r="H74" s="4" t="n">
        <v>83860</v>
      </c>
      <c r="I74" s="4" t="n">
        <v>83860</v>
      </c>
      <c r="J74" s="4" t="n">
        <v>83860</v>
      </c>
      <c r="K74" s="4" t="n">
        <v>83860</v>
      </c>
      <c r="L74" s="12" t="n">
        <f aca="false">SUM(B74:K74)</f>
        <v>964390</v>
      </c>
    </row>
    <row r="75" customFormat="false" ht="15" hidden="false" customHeight="false" outlineLevel="0" collapsed="false">
      <c r="A75" s="0" t="s">
        <v>87</v>
      </c>
      <c r="B75" s="4" t="n">
        <v>139766.6667</v>
      </c>
      <c r="C75" s="4" t="n">
        <v>139766.6667</v>
      </c>
      <c r="D75" s="4" t="n">
        <v>125790</v>
      </c>
      <c r="E75" s="4" t="n">
        <v>125790</v>
      </c>
      <c r="F75" s="4" t="n">
        <v>139766.6667</v>
      </c>
      <c r="G75" s="4" t="n">
        <v>125790</v>
      </c>
      <c r="H75" s="4" t="n">
        <v>125790</v>
      </c>
      <c r="I75" s="4" t="n">
        <v>167720</v>
      </c>
      <c r="J75" s="4" t="n">
        <v>167720</v>
      </c>
      <c r="K75" s="4" t="n">
        <v>167720</v>
      </c>
      <c r="L75" s="12" t="n">
        <f aca="false">SUM(B75:K75)</f>
        <v>1425620.0001</v>
      </c>
    </row>
    <row r="76" customFormat="false" ht="15" hidden="false" customHeight="false" outlineLevel="0" collapsed="false">
      <c r="A76" s="2" t="s">
        <v>47</v>
      </c>
      <c r="B76" s="12" t="n">
        <f aca="false">SUM(B70:B75)</f>
        <v>1397666.66666</v>
      </c>
      <c r="C76" s="12" t="n">
        <f aca="false">SUM(C70:C75)</f>
        <v>1397666.66666</v>
      </c>
      <c r="D76" s="12" t="n">
        <f aca="false">SUM(D70:D75)</f>
        <v>1048250</v>
      </c>
      <c r="E76" s="12" t="n">
        <f aca="false">SUM(E70:E75)</f>
        <v>1048250</v>
      </c>
      <c r="F76" s="12" t="n">
        <f aca="false">SUM(F70:F75)</f>
        <v>1397666.66666</v>
      </c>
      <c r="G76" s="12" t="n">
        <f aca="false">SUM(G70:G75)</f>
        <v>1048250</v>
      </c>
      <c r="H76" s="12" t="n">
        <f aca="false">SUM(H70:H75)</f>
        <v>1048250</v>
      </c>
      <c r="I76" s="12" t="n">
        <f aca="false">SUM(I70:I75)</f>
        <v>1198000</v>
      </c>
      <c r="J76" s="12" t="n">
        <f aca="false">SUM(J70:J75)</f>
        <v>1198000</v>
      </c>
      <c r="K76" s="12" t="n">
        <f aca="false">SUM(K70:K75)</f>
        <v>1198000</v>
      </c>
      <c r="L76" s="12" t="n">
        <f aca="false">SUM(L70:L75)</f>
        <v>11979999.99998</v>
      </c>
    </row>
    <row r="78" customFormat="false" ht="15" hidden="false" customHeight="false" outlineLevel="0" collapsed="false">
      <c r="A78" s="3" t="s">
        <v>49</v>
      </c>
      <c r="B78" s="11" t="n">
        <f aca="false">'Arkansas State University'!D14</f>
        <v>46296</v>
      </c>
      <c r="C78" s="11" t="n">
        <f aca="false">'Arkansas State University'!E14</f>
        <v>46327</v>
      </c>
      <c r="D78" s="11" t="n">
        <f aca="false">'Arkansas State University'!F14</f>
        <v>46357</v>
      </c>
      <c r="E78" s="11" t="n">
        <f aca="false">'Arkansas State University'!G14</f>
        <v>46388</v>
      </c>
      <c r="F78" s="11" t="n">
        <f aca="false">'Arkansas State University'!H14</f>
        <v>46419</v>
      </c>
      <c r="G78" s="11" t="n">
        <f aca="false">'Arkansas State University'!I14</f>
        <v>46447</v>
      </c>
      <c r="H78" s="11" t="n">
        <f aca="false">'Arkansas State University'!J14</f>
        <v>46478</v>
      </c>
      <c r="I78" s="11" t="n">
        <f aca="false">'Arkansas State University'!K14</f>
        <v>46508</v>
      </c>
      <c r="J78" s="11" t="n">
        <f aca="false">'Arkansas State University'!L14</f>
        <v>46539</v>
      </c>
      <c r="K78" s="11" t="n">
        <f aca="false">'Arkansas State University'!M14</f>
        <v>46569</v>
      </c>
      <c r="L78" s="3" t="s">
        <v>47</v>
      </c>
    </row>
    <row r="79" customFormat="false" ht="15" hidden="false" customHeight="false" outlineLevel="0" collapsed="false">
      <c r="A79" s="0" t="s">
        <v>67</v>
      </c>
      <c r="B79" s="4" t="n">
        <f aca="false">'Arkansas State University'!D16</f>
        <v>60798.3333333333</v>
      </c>
      <c r="C79" s="4" t="n">
        <f aca="false">'Arkansas State University'!E16</f>
        <v>51469.3333333333</v>
      </c>
      <c r="D79" s="4" t="n">
        <f aca="false">'Arkansas State University'!F16</f>
        <v>42710.5</v>
      </c>
      <c r="E79" s="4" t="n">
        <f aca="false">'Arkansas State University'!G16</f>
        <v>32089.5</v>
      </c>
      <c r="F79" s="4" t="n">
        <f aca="false">'Arkansas State University'!H16</f>
        <v>22462.3333333333</v>
      </c>
      <c r="G79" s="4" t="n">
        <f aca="false">'Arkansas State University'!I16</f>
        <v>15723.5</v>
      </c>
      <c r="H79" s="4" t="n">
        <f aca="false">'Arkansas State University'!J16</f>
        <v>15723.5</v>
      </c>
      <c r="I79" s="4" t="n">
        <f aca="false">'Arkansas State University'!K16</f>
        <v>17970</v>
      </c>
      <c r="J79" s="4" t="n">
        <f aca="false">'Arkansas State University'!L16</f>
        <v>17970</v>
      </c>
      <c r="K79" s="4" t="n">
        <f aca="false">'Arkansas State University'!M16</f>
        <v>17970</v>
      </c>
      <c r="L79" s="12" t="n">
        <f aca="false">SUM(B79:K79)</f>
        <v>294887</v>
      </c>
    </row>
    <row r="80" customFormat="false" ht="15" hidden="false" customHeight="false" outlineLevel="0" collapsed="false">
      <c r="A80" s="0" t="s">
        <v>68</v>
      </c>
      <c r="B80" s="4" t="n">
        <f aca="false">'Arkansas State University'!D17</f>
        <v>117404</v>
      </c>
      <c r="C80" s="4" t="n">
        <f aca="false">'Arkansas State University'!E17</f>
        <v>82183</v>
      </c>
      <c r="D80" s="4" t="n">
        <f aca="false">'Arkansas State University'!F17</f>
        <v>57528</v>
      </c>
      <c r="E80" s="4" t="n">
        <f aca="false">'Arkansas State University'!G17</f>
        <v>43090</v>
      </c>
      <c r="F80" s="4" t="n">
        <f aca="false">'Arkansas State University'!H17</f>
        <v>50316</v>
      </c>
      <c r="G80" s="4" t="n">
        <f aca="false">'Arkansas State University'!I17</f>
        <v>38860</v>
      </c>
      <c r="H80" s="4" t="n">
        <f aca="false">'Arkansas State University'!J17</f>
        <v>37737</v>
      </c>
      <c r="I80" s="4" t="n">
        <f aca="false">'Arkansas State University'!K17</f>
        <v>43128</v>
      </c>
      <c r="J80" s="4" t="n">
        <f aca="false">'Arkansas State University'!L17</f>
        <v>43128</v>
      </c>
      <c r="K80" s="4" t="n">
        <f aca="false">'Arkansas State University'!M17</f>
        <v>43128</v>
      </c>
      <c r="L80" s="12" t="n">
        <f aca="false">SUM(B80:K80)</f>
        <v>556502</v>
      </c>
    </row>
    <row r="81" customFormat="false" ht="15" hidden="false" customHeight="false" outlineLevel="0" collapsed="false">
      <c r="A81" s="0" t="s">
        <v>69</v>
      </c>
      <c r="B81" s="4" t="n">
        <f aca="false">'Arkansas State University'!D18</f>
        <v>900797.333333333</v>
      </c>
      <c r="C81" s="4" t="n">
        <f aca="false">'Arkansas State University'!E18</f>
        <v>976298.333333333</v>
      </c>
      <c r="D81" s="4" t="n">
        <f aca="false">'Arkansas State University'!F18</f>
        <v>683409</v>
      </c>
      <c r="E81" s="4" t="n">
        <f aca="false">'Arkansas State University'!G18</f>
        <v>651328</v>
      </c>
      <c r="F81" s="4" t="n">
        <f aca="false">'Arkansas State University'!H18</f>
        <v>481346.893333333</v>
      </c>
      <c r="G81" s="4" t="n">
        <f aca="false">'Arkansas State University'!I18</f>
        <v>346505.73</v>
      </c>
      <c r="H81" s="4" t="n">
        <f aca="false">'Arkansas State University'!J18</f>
        <v>412084.73</v>
      </c>
      <c r="I81" s="4" t="n">
        <f aca="false">'Arkansas State University'!K18</f>
        <v>574187.23</v>
      </c>
      <c r="J81" s="4" t="n">
        <f aca="false">'Arkansas State University'!L18</f>
        <v>627911.23</v>
      </c>
      <c r="K81" s="4" t="n">
        <f aca="false">'Arkansas State University'!M18</f>
        <v>851840.23</v>
      </c>
      <c r="L81" s="12" t="n">
        <f aca="false">SUM(B81:K81)</f>
        <v>6505708.71</v>
      </c>
    </row>
    <row r="82" customFormat="false" ht="15" hidden="false" customHeight="false" outlineLevel="0" collapsed="false">
      <c r="A82" s="0" t="s">
        <v>70</v>
      </c>
      <c r="B82" s="4" t="n">
        <f aca="false">'Arkansas State University'!D19</f>
        <v>90847.3333333333</v>
      </c>
      <c r="C82" s="4" t="n">
        <f aca="false">'Arkansas State University'!E19</f>
        <v>118102.333333333</v>
      </c>
      <c r="D82" s="4" t="n">
        <f aca="false">'Arkansas State University'!F19</f>
        <v>82961.5</v>
      </c>
      <c r="E82" s="4" t="n">
        <f aca="false">'Arkansas State University'!G19</f>
        <v>107850.5</v>
      </c>
      <c r="F82" s="4" t="n">
        <f aca="false">'Arkansas State University'!H19</f>
        <v>136489.773333333</v>
      </c>
      <c r="G82" s="4" t="n">
        <f aca="false">'Arkansas State University'!I19</f>
        <v>136489.77</v>
      </c>
      <c r="H82" s="4" t="n">
        <f aca="false">'Arkansas State University'!J19</f>
        <v>136489.77</v>
      </c>
      <c r="I82" s="4" t="n">
        <f aca="false">'Arkansas State University'!K19</f>
        <v>136489.77</v>
      </c>
      <c r="J82" s="4" t="n">
        <f aca="false">'Arkansas State University'!L19</f>
        <v>136489.77</v>
      </c>
      <c r="K82" s="4" t="n">
        <f aca="false">'Arkansas State University'!M19</f>
        <v>136489.77</v>
      </c>
      <c r="L82" s="12" t="n">
        <f aca="false">SUM(B82:K82)</f>
        <v>1218700.29</v>
      </c>
    </row>
    <row r="83" customFormat="false" ht="15" hidden="false" customHeight="false" outlineLevel="0" collapsed="false">
      <c r="A83" s="0" t="s">
        <v>86</v>
      </c>
      <c r="B83" s="4" t="n">
        <f aca="false">'Arkansas State University'!D20</f>
        <v>88053</v>
      </c>
      <c r="C83" s="4" t="n">
        <f aca="false">'Arkansas State University'!E20</f>
        <v>78442</v>
      </c>
      <c r="D83" s="4" t="n">
        <f aca="false">'Arkansas State University'!F20</f>
        <v>101974</v>
      </c>
      <c r="E83" s="4" t="n">
        <f aca="false">'Arkansas State University'!G20</f>
        <v>132567</v>
      </c>
      <c r="F83" s="4" t="n">
        <f aca="false">'Arkansas State University'!H20</f>
        <v>198850</v>
      </c>
      <c r="G83" s="4" t="n">
        <f aca="false">'Arkansas State University'!I20</f>
        <v>258506</v>
      </c>
      <c r="H83" s="4" t="n">
        <f aca="false">'Arkansas State University'!J20</f>
        <v>258506</v>
      </c>
      <c r="I83" s="4" t="n">
        <f aca="false">'Arkansas State University'!K20</f>
        <v>258505</v>
      </c>
      <c r="J83" s="4" t="n">
        <f aca="false">'Arkansas State University'!L20</f>
        <v>301590</v>
      </c>
      <c r="K83" s="4" t="n">
        <f aca="false">'Arkansas State University'!M20</f>
        <v>301589</v>
      </c>
      <c r="L83" s="12" t="n">
        <f aca="false">SUM(B83:K83)</f>
        <v>1978582</v>
      </c>
    </row>
    <row r="84" customFormat="false" ht="15" hidden="false" customHeight="false" outlineLevel="0" collapsed="false">
      <c r="A84" s="0" t="s">
        <v>87</v>
      </c>
      <c r="B84" s="4" t="n">
        <f aca="false">'Arkansas State University'!D21</f>
        <v>139766.666666667</v>
      </c>
      <c r="C84" s="4" t="n">
        <f aca="false">'Arkansas State University'!E21</f>
        <v>139766.666666667</v>
      </c>
      <c r="D84" s="4" t="n">
        <f aca="false">'Arkansas State University'!F21</f>
        <v>125790</v>
      </c>
      <c r="E84" s="4" t="n">
        <f aca="false">'Arkansas State University'!G21</f>
        <v>125790</v>
      </c>
      <c r="F84" s="4" t="n">
        <f aca="false">'Arkansas State University'!H21</f>
        <v>139766.666666667</v>
      </c>
      <c r="G84" s="4" t="n">
        <f aca="false">'Arkansas State University'!I21</f>
        <v>125790</v>
      </c>
      <c r="H84" s="4" t="n">
        <f aca="false">'Arkansas State University'!J21</f>
        <v>125790</v>
      </c>
      <c r="I84" s="4" t="n">
        <f aca="false">'Arkansas State University'!K21</f>
        <v>167720</v>
      </c>
      <c r="J84" s="4" t="n">
        <f aca="false">'Arkansas State University'!L21</f>
        <v>167720</v>
      </c>
      <c r="K84" s="4" t="n">
        <f aca="false">'Arkansas State University'!M21</f>
        <v>167720</v>
      </c>
      <c r="L84" s="12" t="n">
        <f aca="false">SUM(B84:K84)</f>
        <v>1425620</v>
      </c>
    </row>
    <row r="85" customFormat="false" ht="15" hidden="false" customHeight="false" outlineLevel="0" collapsed="false">
      <c r="A85" s="2" t="s">
        <v>47</v>
      </c>
      <c r="B85" s="12" t="n">
        <f aca="false">SUM(B79:B84)</f>
        <v>1397666.66666667</v>
      </c>
      <c r="C85" s="12" t="n">
        <f aca="false">SUM(C79:C84)</f>
        <v>1446261.66666667</v>
      </c>
      <c r="D85" s="12" t="n">
        <f aca="false">SUM(D79:D84)</f>
        <v>1094373</v>
      </c>
      <c r="E85" s="12" t="n">
        <f aca="false">SUM(E79:E84)</f>
        <v>1092715</v>
      </c>
      <c r="F85" s="12" t="n">
        <f aca="false">SUM(F79:F84)</f>
        <v>1029231.66666667</v>
      </c>
      <c r="G85" s="12" t="n">
        <f aca="false">SUM(G79:G84)</f>
        <v>921875</v>
      </c>
      <c r="H85" s="12" t="n">
        <f aca="false">SUM(H79:H84)</f>
        <v>986331</v>
      </c>
      <c r="I85" s="12" t="n">
        <f aca="false">SUM(I79:I84)</f>
        <v>1198000</v>
      </c>
      <c r="J85" s="12" t="n">
        <f aca="false">SUM(J79:J84)</f>
        <v>1294809</v>
      </c>
      <c r="K85" s="12" t="n">
        <f aca="false">SUM(K79:K84)</f>
        <v>1518737</v>
      </c>
      <c r="L85" s="12" t="n">
        <f aca="false">SUM(L79:L84)</f>
        <v>11980000</v>
      </c>
    </row>
    <row r="87" customFormat="false" ht="15" hidden="false" customHeight="false" outlineLevel="0" collapsed="false">
      <c r="A87" s="3" t="s">
        <v>88</v>
      </c>
      <c r="B87" s="11" t="n">
        <f aca="false">'Arkansas State University'!D14</f>
        <v>46296</v>
      </c>
      <c r="C87" s="11" t="n">
        <f aca="false">'Arkansas State University'!E14</f>
        <v>46327</v>
      </c>
      <c r="D87" s="11" t="n">
        <f aca="false">'Arkansas State University'!F14</f>
        <v>46357</v>
      </c>
      <c r="E87" s="11" t="n">
        <f aca="false">'Arkansas State University'!G14</f>
        <v>46388</v>
      </c>
      <c r="F87" s="11" t="n">
        <f aca="false">'Arkansas State University'!H14</f>
        <v>46419</v>
      </c>
      <c r="G87" s="11" t="n">
        <f aca="false">'Arkansas State University'!I14</f>
        <v>46447</v>
      </c>
      <c r="H87" s="11" t="n">
        <f aca="false">'Arkansas State University'!J14</f>
        <v>46478</v>
      </c>
      <c r="I87" s="11" t="n">
        <f aca="false">'Arkansas State University'!K14</f>
        <v>46508</v>
      </c>
      <c r="J87" s="11" t="n">
        <f aca="false">'Arkansas State University'!L14</f>
        <v>46539</v>
      </c>
      <c r="K87" s="11" t="n">
        <f aca="false">'Arkansas State University'!M14</f>
        <v>46569</v>
      </c>
      <c r="L87" s="3" t="s">
        <v>47</v>
      </c>
    </row>
    <row r="88" customFormat="false" ht="15" hidden="false" customHeight="false" outlineLevel="0" collapsed="false">
      <c r="A88" s="0" t="s">
        <v>67</v>
      </c>
      <c r="B88" s="5" t="n">
        <f aca="false">B79-B70</f>
        <v>-9084.99999666667</v>
      </c>
      <c r="C88" s="5" t="n">
        <f aca="false">C79-C70</f>
        <v>-18413.9999966667</v>
      </c>
      <c r="D88" s="5" t="n">
        <f aca="false">D79-D70</f>
        <v>-9702</v>
      </c>
      <c r="E88" s="5" t="n">
        <f aca="false">E79-E70</f>
        <v>-20323</v>
      </c>
      <c r="F88" s="5" t="n">
        <f aca="false">F79-F70</f>
        <v>-47420.9999966667</v>
      </c>
      <c r="G88" s="5" t="n">
        <f aca="false">G79-G70</f>
        <v>-36689</v>
      </c>
      <c r="H88" s="5" t="n">
        <f aca="false">H79-H70</f>
        <v>-36689</v>
      </c>
      <c r="I88" s="5" t="n">
        <f aca="false">I79-I70</f>
        <v>-41930</v>
      </c>
      <c r="J88" s="5" t="n">
        <f aca="false">J79-J70</f>
        <v>-41930</v>
      </c>
      <c r="K88" s="5" t="n">
        <f aca="false">K79-K70</f>
        <v>-41930</v>
      </c>
      <c r="L88" s="13" t="n">
        <f aca="false">SUM(B88:K88)</f>
        <v>-304112.99999</v>
      </c>
    </row>
    <row r="89" customFormat="false" ht="15" hidden="false" customHeight="false" outlineLevel="0" collapsed="false">
      <c r="A89" s="0" t="s">
        <v>68</v>
      </c>
      <c r="B89" s="5" t="n">
        <f aca="false">B80-B71</f>
        <v>-50316</v>
      </c>
      <c r="C89" s="5" t="n">
        <f aca="false">C80-C71</f>
        <v>-85537</v>
      </c>
      <c r="D89" s="5" t="n">
        <f aca="false">D80-D71</f>
        <v>-68262</v>
      </c>
      <c r="E89" s="5" t="n">
        <f aca="false">E80-E71</f>
        <v>-82700</v>
      </c>
      <c r="F89" s="5" t="n">
        <f aca="false">F80-F71</f>
        <v>-117404</v>
      </c>
      <c r="G89" s="5" t="n">
        <f aca="false">G80-G71</f>
        <v>-86930</v>
      </c>
      <c r="H89" s="5" t="n">
        <f aca="false">H80-H71</f>
        <v>-88053</v>
      </c>
      <c r="I89" s="5" t="n">
        <f aca="false">I80-I71</f>
        <v>-100632</v>
      </c>
      <c r="J89" s="5" t="n">
        <f aca="false">J80-J71</f>
        <v>-100632</v>
      </c>
      <c r="K89" s="5" t="n">
        <f aca="false">K80-K71</f>
        <v>-100632</v>
      </c>
      <c r="L89" s="13" t="n">
        <f aca="false">SUM(B89:K89)</f>
        <v>-881098</v>
      </c>
    </row>
    <row r="90" customFormat="false" ht="15" hidden="false" customHeight="false" outlineLevel="0" collapsed="false">
      <c r="A90" s="0" t="s">
        <v>69</v>
      </c>
      <c r="B90" s="5" t="n">
        <f aca="false">B81-B72</f>
        <v>76174.0000333332</v>
      </c>
      <c r="C90" s="5" t="n">
        <f aca="false">C81-C72</f>
        <v>151675.000033333</v>
      </c>
      <c r="D90" s="5" t="n">
        <f aca="false">D81-D72</f>
        <v>75424</v>
      </c>
      <c r="E90" s="5" t="n">
        <f aca="false">E81-E72</f>
        <v>43343</v>
      </c>
      <c r="F90" s="5" t="n">
        <f aca="false">F81-F72</f>
        <v>-343276.439966667</v>
      </c>
      <c r="G90" s="5" t="n">
        <f aca="false">G81-G72</f>
        <v>-261479.27</v>
      </c>
      <c r="H90" s="5" t="n">
        <f aca="false">H81-H72</f>
        <v>-195900.27</v>
      </c>
      <c r="I90" s="5" t="n">
        <f aca="false">I81-I72</f>
        <v>-108672.77</v>
      </c>
      <c r="J90" s="5" t="n">
        <f aca="false">J81-J72</f>
        <v>-54948.7700000001</v>
      </c>
      <c r="K90" s="5" t="n">
        <f aca="false">K81-K72</f>
        <v>168980.23</v>
      </c>
      <c r="L90" s="13" t="n">
        <f aca="false">SUM(B90:K90)</f>
        <v>-448681.289900001</v>
      </c>
    </row>
    <row r="91" customFormat="false" ht="15" hidden="false" customHeight="false" outlineLevel="0" collapsed="false">
      <c r="A91" s="0" t="s">
        <v>70</v>
      </c>
      <c r="B91" s="5" t="n">
        <f aca="false">B82-B73</f>
        <v>20964.0000033333</v>
      </c>
      <c r="C91" s="5" t="n">
        <f aca="false">C82-C73</f>
        <v>48219.0000033333</v>
      </c>
      <c r="D91" s="5" t="n">
        <f aca="false">D82-D73</f>
        <v>30549</v>
      </c>
      <c r="E91" s="5" t="n">
        <f aca="false">E82-E73</f>
        <v>55438</v>
      </c>
      <c r="F91" s="5" t="n">
        <f aca="false">F82-F73</f>
        <v>66606.4400033333</v>
      </c>
      <c r="G91" s="5" t="n">
        <f aca="false">G82-G73</f>
        <v>84077.27</v>
      </c>
      <c r="H91" s="5" t="n">
        <f aca="false">H82-H73</f>
        <v>84077.27</v>
      </c>
      <c r="I91" s="5" t="n">
        <f aca="false">I82-I73</f>
        <v>76589.77</v>
      </c>
      <c r="J91" s="5" t="n">
        <f aca="false">J82-J73</f>
        <v>76589.77</v>
      </c>
      <c r="K91" s="5" t="n">
        <f aca="false">K82-K73</f>
        <v>76589.77</v>
      </c>
      <c r="L91" s="13" t="n">
        <f aca="false">SUM(B91:K91)</f>
        <v>619700.29001</v>
      </c>
    </row>
    <row r="92" customFormat="false" ht="15" hidden="false" customHeight="false" outlineLevel="0" collapsed="false">
      <c r="A92" s="0" t="s">
        <v>86</v>
      </c>
      <c r="B92" s="5" t="n">
        <f aca="false">B83-B74</f>
        <v>-37737</v>
      </c>
      <c r="C92" s="5" t="n">
        <f aca="false">C83-C74</f>
        <v>-47348</v>
      </c>
      <c r="D92" s="5" t="n">
        <f aca="false">D83-D74</f>
        <v>18114</v>
      </c>
      <c r="E92" s="5" t="n">
        <f aca="false">E83-E74</f>
        <v>48707</v>
      </c>
      <c r="F92" s="5" t="n">
        <f aca="false">F83-F74</f>
        <v>73060</v>
      </c>
      <c r="G92" s="5" t="n">
        <f aca="false">G83-G74</f>
        <v>174646</v>
      </c>
      <c r="H92" s="5" t="n">
        <f aca="false">H83-H74</f>
        <v>174646</v>
      </c>
      <c r="I92" s="5" t="n">
        <f aca="false">I83-I74</f>
        <v>174645</v>
      </c>
      <c r="J92" s="5" t="n">
        <f aca="false">J83-J74</f>
        <v>217730</v>
      </c>
      <c r="K92" s="5" t="n">
        <f aca="false">K83-K74</f>
        <v>217729</v>
      </c>
      <c r="L92" s="13" t="n">
        <f aca="false">SUM(B92:K92)</f>
        <v>1014192</v>
      </c>
    </row>
    <row r="93" customFormat="false" ht="15" hidden="false" customHeight="false" outlineLevel="0" collapsed="false">
      <c r="A93" s="0" t="s">
        <v>87</v>
      </c>
      <c r="B93" s="5" t="n">
        <f aca="false">B84-B75</f>
        <v>-3.33333446178585E-005</v>
      </c>
      <c r="C93" s="5" t="n">
        <f aca="false">C84-C75</f>
        <v>-3.33333446178585E-005</v>
      </c>
      <c r="D93" s="5" t="n">
        <f aca="false">D84-D75</f>
        <v>0</v>
      </c>
      <c r="E93" s="5" t="n">
        <f aca="false">E84-E75</f>
        <v>0</v>
      </c>
      <c r="F93" s="5" t="n">
        <f aca="false">F84-F75</f>
        <v>-3.33333446178585E-005</v>
      </c>
      <c r="G93" s="5" t="n">
        <f aca="false">G84-G75</f>
        <v>0</v>
      </c>
      <c r="H93" s="5" t="n">
        <f aca="false">H84-H75</f>
        <v>0</v>
      </c>
      <c r="I93" s="5" t="n">
        <f aca="false">I84-I75</f>
        <v>0</v>
      </c>
      <c r="J93" s="5" t="n">
        <f aca="false">J84-J75</f>
        <v>0</v>
      </c>
      <c r="K93" s="5" t="n">
        <f aca="false">K84-K75</f>
        <v>0</v>
      </c>
      <c r="L93" s="13" t="n">
        <f aca="false">SUM(B93:K93)</f>
        <v>-0.000100000033853576</v>
      </c>
    </row>
    <row r="94" customFormat="false" ht="15" hidden="false" customHeight="false" outlineLevel="0" collapsed="false">
      <c r="A94" s="2" t="s">
        <v>47</v>
      </c>
      <c r="B94" s="13" t="n">
        <f aca="false">SUM(B88:B93)</f>
        <v>6.66647974867374E-006</v>
      </c>
      <c r="C94" s="13" t="n">
        <f aca="false">SUM(C88:C93)</f>
        <v>48595.0000066665</v>
      </c>
      <c r="D94" s="13" t="n">
        <f aca="false">SUM(D88:D93)</f>
        <v>46123</v>
      </c>
      <c r="E94" s="13" t="n">
        <f aca="false">SUM(E88:E93)</f>
        <v>44465</v>
      </c>
      <c r="F94" s="13" t="n">
        <f aca="false">SUM(F88:F93)</f>
        <v>-368434.999993334</v>
      </c>
      <c r="G94" s="13" t="n">
        <f aca="false">SUM(G88:G93)</f>
        <v>-126375</v>
      </c>
      <c r="H94" s="13" t="n">
        <f aca="false">SUM(H88:H93)</f>
        <v>-61919.0000000001</v>
      </c>
      <c r="I94" s="13" t="n">
        <f aca="false">SUM(I88:I93)</f>
        <v>-1.16415321826935E-010</v>
      </c>
      <c r="J94" s="13" t="n">
        <f aca="false">SUM(J88:J93)</f>
        <v>96808.9999999999</v>
      </c>
      <c r="K94" s="13" t="n">
        <f aca="false">SUM(K88:K93)</f>
        <v>320737</v>
      </c>
      <c r="L94" s="13" t="n">
        <f aca="false">SUM(L88:L93)</f>
        <v>1.99989008251578E-005</v>
      </c>
    </row>
    <row r="96" customFormat="false" ht="15" hidden="false" customHeight="false" outlineLevel="0" collapsed="false">
      <c r="A96" s="3" t="s">
        <v>78</v>
      </c>
      <c r="B96" s="11" t="n">
        <f aca="false">'Arkansas State University'!D14</f>
        <v>46296</v>
      </c>
      <c r="C96" s="11" t="n">
        <f aca="false">'Arkansas State University'!E14</f>
        <v>46327</v>
      </c>
      <c r="D96" s="11" t="n">
        <f aca="false">'Arkansas State University'!F14</f>
        <v>46357</v>
      </c>
      <c r="E96" s="11" t="n">
        <f aca="false">'Arkansas State University'!G14</f>
        <v>46388</v>
      </c>
      <c r="F96" s="11" t="n">
        <f aca="false">'Arkansas State University'!H14</f>
        <v>46419</v>
      </c>
      <c r="G96" s="11" t="n">
        <f aca="false">'Arkansas State University'!I14</f>
        <v>46447</v>
      </c>
      <c r="H96" s="11" t="n">
        <f aca="false">'Arkansas State University'!J14</f>
        <v>46478</v>
      </c>
      <c r="I96" s="11" t="n">
        <f aca="false">'Arkansas State University'!K14</f>
        <v>46508</v>
      </c>
      <c r="J96" s="11" t="n">
        <f aca="false">'Arkansas State University'!L14</f>
        <v>46539</v>
      </c>
      <c r="K96" s="11" t="n">
        <f aca="false">'Arkansas State University'!M14</f>
        <v>46569</v>
      </c>
      <c r="L96" s="3" t="s">
        <v>47</v>
      </c>
    </row>
    <row r="97" customFormat="false" ht="15" hidden="false" customHeight="false" outlineLevel="0" collapsed="false">
      <c r="A97" s="0" t="s">
        <v>67</v>
      </c>
      <c r="B97" s="6" t="n">
        <f aca="false">'Arkansas State University'!D30</f>
        <v>64.2151373099154</v>
      </c>
      <c r="C97" s="6" t="n">
        <f aca="false">'Arkansas State University'!E30</f>
        <v>55.2836355046883</v>
      </c>
      <c r="D97" s="6" t="n">
        <f aca="false">'Arkansas State University'!F30</f>
        <v>44.69301324009</v>
      </c>
      <c r="E97" s="6" t="n">
        <f aca="false">'Arkansas State University'!G30</f>
        <v>35.6329938548396</v>
      </c>
      <c r="F97" s="6" t="n">
        <f aca="false">'Arkansas State University'!H30</f>
        <v>17.7734325572322</v>
      </c>
      <c r="G97" s="6" t="n">
        <f aca="false">'Arkansas State University'!I30</f>
        <v>12.2701708467265</v>
      </c>
      <c r="H97" s="6" t="n">
        <f aca="false">'Arkansas State University'!J30</f>
        <v>17.454242238951</v>
      </c>
      <c r="I97" s="6" t="n">
        <f aca="false">'Arkansas State University'!K30</f>
        <v>15.7620103097757</v>
      </c>
      <c r="J97" s="6" t="n">
        <f aca="false">'Arkansas State University'!L30</f>
        <v>18.3394148683647</v>
      </c>
      <c r="K97" s="6" t="n">
        <f aca="false">'Arkansas State University'!M30</f>
        <v>15.9574071317977</v>
      </c>
      <c r="L97" s="14" t="n">
        <f aca="false">SUM(B97:K97)</f>
        <v>297.381457862381</v>
      </c>
    </row>
    <row r="98" customFormat="false" ht="15" hidden="false" customHeight="false" outlineLevel="0" collapsed="false">
      <c r="A98" s="0" t="s">
        <v>68</v>
      </c>
      <c r="B98" s="6" t="n">
        <f aca="false">'Arkansas State University'!D31</f>
        <v>84.9566630854384</v>
      </c>
      <c r="C98" s="6" t="n">
        <f aca="false">'Arkansas State University'!E31</f>
        <v>78.2459546375878</v>
      </c>
      <c r="D98" s="6" t="n">
        <f aca="false">'Arkansas State University'!F31</f>
        <v>53.6174858767583</v>
      </c>
      <c r="E98" s="6" t="n">
        <f aca="false">'Arkansas State University'!G31</f>
        <v>29.0672578029937</v>
      </c>
      <c r="F98" s="6" t="n">
        <f aca="false">'Arkansas State University'!H31</f>
        <v>35.5632543148347</v>
      </c>
      <c r="G98" s="6" t="n">
        <f aca="false">'Arkansas State University'!I31</f>
        <v>37.7031102252271</v>
      </c>
      <c r="H98" s="6" t="n">
        <f aca="false">'Arkansas State University'!J31</f>
        <v>35.1717957261025</v>
      </c>
      <c r="I98" s="6" t="n">
        <f aca="false">'Arkansas State University'!K31</f>
        <v>28.9989426224909</v>
      </c>
      <c r="J98" s="6" t="n">
        <f aca="false">'Arkansas State University'!L31</f>
        <v>32.1479154751335</v>
      </c>
      <c r="K98" s="6" t="n">
        <f aca="false">'Arkansas State University'!M31</f>
        <v>31.9808904836029</v>
      </c>
      <c r="L98" s="14" t="n">
        <f aca="false">SUM(B98:K98)</f>
        <v>447.45327025017</v>
      </c>
    </row>
    <row r="99" customFormat="false" ht="15" hidden="false" customHeight="false" outlineLevel="0" collapsed="false">
      <c r="A99" s="0" t="s">
        <v>69</v>
      </c>
      <c r="B99" s="6" t="n">
        <f aca="false">'Arkansas State University'!D32</f>
        <v>1294.18489073937</v>
      </c>
      <c r="C99" s="6" t="n">
        <f aca="false">'Arkansas State University'!E32</f>
        <v>1267.33200304136</v>
      </c>
      <c r="D99" s="6" t="n">
        <f aca="false">'Arkansas State University'!F32</f>
        <v>896.393856579895</v>
      </c>
      <c r="E99" s="6" t="n">
        <f aca="false">'Arkansas State University'!G32</f>
        <v>877.035178142115</v>
      </c>
      <c r="F99" s="6" t="n">
        <f aca="false">'Arkansas State University'!H32</f>
        <v>567.277425357439</v>
      </c>
      <c r="G99" s="6" t="n">
        <f aca="false">'Arkansas State University'!I32</f>
        <v>425.663000620241</v>
      </c>
      <c r="H99" s="6" t="n">
        <f aca="false">'Arkansas State University'!J32</f>
        <v>463.37879302837</v>
      </c>
      <c r="I99" s="6" t="n">
        <f aca="false">'Arkansas State University'!K32</f>
        <v>595.515943173032</v>
      </c>
      <c r="J99" s="6" t="n">
        <f aca="false">'Arkansas State University'!L32</f>
        <v>604.863918648558</v>
      </c>
      <c r="K99" s="6" t="n">
        <f aca="false">'Arkansas State University'!M32</f>
        <v>1004.70690858948</v>
      </c>
      <c r="L99" s="14" t="n">
        <f aca="false">SUM(B99:K99)</f>
        <v>7996.35191791987</v>
      </c>
    </row>
    <row r="100" customFormat="false" ht="15" hidden="false" customHeight="false" outlineLevel="0" collapsed="false">
      <c r="A100" s="0" t="s">
        <v>70</v>
      </c>
      <c r="B100" s="6" t="n">
        <f aca="false">'Arkansas State University'!D33</f>
        <v>62.6090965523241</v>
      </c>
      <c r="C100" s="6" t="n">
        <f aca="false">'Arkansas State University'!E33</f>
        <v>105.088357252788</v>
      </c>
      <c r="D100" s="6" t="n">
        <f aca="false">'Arkansas State University'!F33</f>
        <v>69.9747713576845</v>
      </c>
      <c r="E100" s="6" t="n">
        <f aca="false">'Arkansas State University'!G33</f>
        <v>66.1389119534542</v>
      </c>
      <c r="F100" s="6" t="n">
        <f aca="false">'Arkansas State University'!H33</f>
        <v>86.5208210642813</v>
      </c>
      <c r="G100" s="6" t="n">
        <f aca="false">'Arkansas State University'!I33</f>
        <v>126.120354947575</v>
      </c>
      <c r="H100" s="6" t="n">
        <f aca="false">'Arkansas State University'!J33</f>
        <v>116.175126240642</v>
      </c>
      <c r="I100" s="6" t="n">
        <f aca="false">'Arkansas State University'!K33</f>
        <v>65.7392105037921</v>
      </c>
      <c r="J100" s="6" t="n">
        <f aca="false">'Arkansas State University'!L33</f>
        <v>86.9576389023731</v>
      </c>
      <c r="K100" s="6" t="n">
        <f aca="false">'Arkansas State University'!M33</f>
        <v>79.0717527349935</v>
      </c>
      <c r="L100" s="14" t="n">
        <f aca="false">SUM(B100:K100)</f>
        <v>864.396041509908</v>
      </c>
    </row>
    <row r="101" customFormat="false" ht="15" hidden="false" customHeight="false" outlineLevel="0" collapsed="false">
      <c r="A101" s="0" t="s">
        <v>86</v>
      </c>
      <c r="B101" s="6" t="n">
        <f aca="false">'Arkansas State University'!D34</f>
        <v>77.6524621738245</v>
      </c>
      <c r="C101" s="6" t="n">
        <f aca="false">'Arkansas State University'!E34</f>
        <v>63.7380934930461</v>
      </c>
      <c r="D101" s="6" t="n">
        <f aca="false">'Arkansas State University'!F34</f>
        <v>117.852367298493</v>
      </c>
      <c r="E101" s="6" t="n">
        <f aca="false">'Arkansas State University'!G34</f>
        <v>177.590533434716</v>
      </c>
      <c r="F101" s="6" t="n">
        <f aca="false">'Arkansas State University'!H34</f>
        <v>288.602278194599</v>
      </c>
      <c r="G101" s="6" t="n">
        <f aca="false">'Arkansas State University'!I34</f>
        <v>373.874245218209</v>
      </c>
      <c r="H101" s="6" t="n">
        <f aca="false">'Arkansas State University'!J34</f>
        <v>395.414945083722</v>
      </c>
      <c r="I101" s="6" t="n">
        <f aca="false">'Arkansas State University'!K34</f>
        <v>254.825020908062</v>
      </c>
      <c r="J101" s="6" t="n">
        <f aca="false">'Arkansas State University'!L34</f>
        <v>356.694271177059</v>
      </c>
      <c r="K101" s="6" t="n">
        <f aca="false">'Arkansas State University'!M34</f>
        <v>352.230767218359</v>
      </c>
      <c r="L101" s="14" t="n">
        <f aca="false">SUM(B101:K101)</f>
        <v>2458.47498420009</v>
      </c>
    </row>
    <row r="102" customFormat="false" ht="15" hidden="false" customHeight="false" outlineLevel="0" collapsed="false">
      <c r="A102" s="0" t="s">
        <v>87</v>
      </c>
      <c r="B102" s="6" t="n">
        <f aca="false">'Arkansas State University'!D35</f>
        <v>157.217847769029</v>
      </c>
      <c r="C102" s="6" t="n">
        <f aca="false">'Arkansas State University'!E35</f>
        <v>149.269538672398</v>
      </c>
      <c r="D102" s="6" t="n">
        <f aca="false">'Arkansas State University'!F35</f>
        <v>127.877601850205</v>
      </c>
      <c r="E102" s="6" t="n">
        <f aca="false">'Arkansas State University'!G35</f>
        <v>184.645871559633</v>
      </c>
      <c r="F102" s="6" t="n">
        <f aca="false">'Arkansas State University'!H35</f>
        <v>196.249817171274</v>
      </c>
      <c r="G102" s="6" t="n">
        <f aca="false">'Arkansas State University'!I35</f>
        <v>171.142857142857</v>
      </c>
      <c r="H102" s="6" t="n">
        <f aca="false">'Arkansas State University'!J35</f>
        <v>128.353868523762</v>
      </c>
      <c r="I102" s="6" t="n">
        <f aca="false">'Arkansas State University'!K35</f>
        <v>253.162264150943</v>
      </c>
      <c r="J102" s="6" t="n">
        <f aca="false">'Arkansas State University'!L35</f>
        <v>248.805815160955</v>
      </c>
      <c r="K102" s="6" t="n">
        <f aca="false">'Arkansas State University'!M35</f>
        <v>194.940141800008</v>
      </c>
      <c r="L102" s="14" t="n">
        <f aca="false">SUM(B102:K102)</f>
        <v>1811.66562380106</v>
      </c>
    </row>
    <row r="103" customFormat="false" ht="15" hidden="false" customHeight="false" outlineLevel="0" collapsed="false">
      <c r="A103" s="2" t="s">
        <v>47</v>
      </c>
      <c r="B103" s="14" t="n">
        <f aca="false">SUM(B97:B102)</f>
        <v>1740.8360976299</v>
      </c>
      <c r="C103" s="14" t="n">
        <f aca="false">SUM(C97:C102)</f>
        <v>1718.95758260187</v>
      </c>
      <c r="D103" s="14" t="n">
        <f aca="false">SUM(D97:D102)</f>
        <v>1310.40909620313</v>
      </c>
      <c r="E103" s="14" t="n">
        <f aca="false">SUM(E97:E102)</f>
        <v>1370.11074674775</v>
      </c>
      <c r="F103" s="14" t="n">
        <f aca="false">SUM(F97:F102)</f>
        <v>1191.98702865966</v>
      </c>
      <c r="G103" s="14" t="n">
        <f aca="false">SUM(G97:G102)</f>
        <v>1146.77373900084</v>
      </c>
      <c r="H103" s="14" t="n">
        <f aca="false">SUM(H97:H102)</f>
        <v>1155.94877084155</v>
      </c>
      <c r="I103" s="14" t="n">
        <f aca="false">SUM(I97:I102)</f>
        <v>1214.0033916681</v>
      </c>
      <c r="J103" s="14" t="n">
        <f aca="false">SUM(J97:J102)</f>
        <v>1347.80897423244</v>
      </c>
      <c r="K103" s="14" t="n">
        <f aca="false">SUM(K97:K102)</f>
        <v>1678.88786795824</v>
      </c>
      <c r="L103" s="14" t="n">
        <f aca="false">SUM(L97:L102)</f>
        <v>13875.7232955435</v>
      </c>
    </row>
    <row r="104" customFormat="false" ht="15" hidden="false" customHeight="false" outlineLevel="0" collapsed="false">
      <c r="A104" s="9" t="s">
        <v>89</v>
      </c>
    </row>
    <row r="106" customFormat="false" ht="15" hidden="false" customHeight="false" outlineLevel="0" collapsed="false">
      <c r="A106" s="2" t="s">
        <v>90</v>
      </c>
    </row>
    <row r="107" customFormat="false" ht="15" hidden="false" customHeight="false" outlineLevel="0" collapsed="false">
      <c r="A107" s="3" t="s">
        <v>4</v>
      </c>
      <c r="B107" s="11" t="n">
        <f aca="false">'Arkansas State University'!B14</f>
        <v>46235</v>
      </c>
      <c r="C107" s="11" t="n">
        <f aca="false">'Arkansas State University'!C14</f>
        <v>46266</v>
      </c>
      <c r="D107" s="11" t="n">
        <f aca="false">'Arkansas State University'!D14</f>
        <v>46296</v>
      </c>
      <c r="E107" s="11" t="n">
        <f aca="false">'Arkansas State University'!E14</f>
        <v>46327</v>
      </c>
      <c r="F107" s="11" t="n">
        <f aca="false">'Arkansas State University'!F14</f>
        <v>46357</v>
      </c>
      <c r="G107" s="11" t="n">
        <f aca="false">'Arkansas State University'!G14</f>
        <v>46388</v>
      </c>
      <c r="H107" s="11" t="n">
        <f aca="false">'Arkansas State University'!H14</f>
        <v>46419</v>
      </c>
      <c r="I107" s="11" t="n">
        <f aca="false">'Arkansas State University'!I14</f>
        <v>46447</v>
      </c>
      <c r="J107" s="11" t="n">
        <f aca="false">'Arkansas State University'!J14</f>
        <v>46478</v>
      </c>
      <c r="K107" s="11" t="n">
        <f aca="false">'Arkansas State University'!K14</f>
        <v>46508</v>
      </c>
      <c r="L107" s="11" t="n">
        <f aca="false">'Arkansas State University'!L14</f>
        <v>46539</v>
      </c>
      <c r="M107" s="11" t="n">
        <f aca="false">'Arkansas State University'!M14</f>
        <v>46569</v>
      </c>
    </row>
    <row r="108" customFormat="false" ht="15" hidden="false" customHeight="false" outlineLevel="0" collapsed="false">
      <c r="A108" s="2" t="s">
        <v>91</v>
      </c>
      <c r="B108" s="4" t="n">
        <f aca="false">N('Arkansas State University'!B16)+N('Arkansas State University'!B17)</f>
        <v>190000</v>
      </c>
      <c r="C108" s="4" t="n">
        <f aca="false">N('Arkansas State University'!C16)+N('Arkansas State University'!C17)</f>
        <v>336300</v>
      </c>
      <c r="D108" s="4" t="n">
        <f aca="false">N('Arkansas State University'!D16)+N('Arkansas State University'!D17)</f>
        <v>178202.333333333</v>
      </c>
      <c r="E108" s="4" t="n">
        <f aca="false">N('Arkansas State University'!E16)+N('Arkansas State University'!E17)</f>
        <v>133652.333333333</v>
      </c>
      <c r="F108" s="4" t="n">
        <f aca="false">N('Arkansas State University'!F16)+N('Arkansas State University'!F17)</f>
        <v>100238.5</v>
      </c>
      <c r="G108" s="4" t="n">
        <f aca="false">N('Arkansas State University'!G16)+N('Arkansas State University'!G17)</f>
        <v>75179.5</v>
      </c>
      <c r="H108" s="4" t="n">
        <f aca="false">N('Arkansas State University'!H16)+N('Arkansas State University'!H17)</f>
        <v>72778.3333333333</v>
      </c>
      <c r="I108" s="4" t="n">
        <f aca="false">N('Arkansas State University'!I16)+N('Arkansas State University'!I17)</f>
        <v>54583.5</v>
      </c>
      <c r="J108" s="4" t="n">
        <f aca="false">N('Arkansas State University'!J16)+N('Arkansas State University'!J17)</f>
        <v>53460.5</v>
      </c>
      <c r="K108" s="4" t="n">
        <f aca="false">N('Arkansas State University'!K16)+N('Arkansas State University'!K17)</f>
        <v>61098</v>
      </c>
      <c r="L108" s="4" t="n">
        <f aca="false">N('Arkansas State University'!L16)+N('Arkansas State University'!L17)</f>
        <v>61098</v>
      </c>
      <c r="M108" s="4" t="n">
        <f aca="false">N('Arkansas State University'!M16)+N('Arkansas State University'!M17)</f>
        <v>61098</v>
      </c>
    </row>
    <row r="109" customFormat="false" ht="15" hidden="false" customHeight="false" outlineLevel="0" collapsed="false">
      <c r="A109" s="0" t="s">
        <v>92</v>
      </c>
      <c r="C109" s="17" t="n">
        <f aca="false">C108/B108-1</f>
        <v>0.77</v>
      </c>
      <c r="D109" s="17" t="n">
        <f aca="false">D108/C108-1</f>
        <v>-0.470109029636238</v>
      </c>
      <c r="E109" s="17" t="n">
        <f aca="false">E108/D108-1</f>
        <v>-0.249996726567366</v>
      </c>
      <c r="F109" s="17" t="n">
        <f aca="false">F108/E108-1</f>
        <v>-0.250005611574308</v>
      </c>
      <c r="G109" s="17" t="n">
        <f aca="false">G108/F108-1</f>
        <v>-0.249993764870783</v>
      </c>
      <c r="H109" s="17" t="n">
        <f aca="false">H108/G108-1</f>
        <v>-0.0319391146079278</v>
      </c>
      <c r="I109" s="17" t="n">
        <f aca="false">I108/H108-1</f>
        <v>-0.250003435088282</v>
      </c>
      <c r="J109" s="17" t="n">
        <f aca="false">J108/I108-1</f>
        <v>-0.0205739829802046</v>
      </c>
      <c r="K109" s="17" t="n">
        <f aca="false">K108/J108-1</f>
        <v>0.142862487256947</v>
      </c>
      <c r="L109" s="17" t="n">
        <f aca="false">L108/K108-1</f>
        <v>0</v>
      </c>
      <c r="M109" s="17" t="n">
        <f aca="false">M108/L108-1</f>
        <v>0</v>
      </c>
    </row>
    <row r="110" customFormat="false" ht="15" hidden="false" customHeight="false" outlineLevel="0" collapsed="false">
      <c r="A110" s="2" t="s">
        <v>93</v>
      </c>
      <c r="B110" s="4" t="n">
        <f aca="false">N('Arkansas State University'!B18)+N('Arkansas State University'!B19)+N('Arkansas State University'!B20)+N('Arkansas State University'!B22)</f>
        <v>620000</v>
      </c>
      <c r="C110" s="4" t="n">
        <f aca="false">N('Arkansas State University'!C18)+N('Arkansas State University'!C19)+N('Arkansas State University'!C20)+N('Arkansas State University'!C22)</f>
        <v>1345200</v>
      </c>
      <c r="D110" s="4" t="n">
        <f aca="false">N('Arkansas State University'!D18)+N('Arkansas State University'!D19)+N('Arkansas State University'!D20)+N('Arkansas State University'!D22)</f>
        <v>1079697.66666667</v>
      </c>
      <c r="E110" s="4" t="n">
        <f aca="false">N('Arkansas State University'!E18)+N('Arkansas State University'!E19)+N('Arkansas State University'!E20)+N('Arkansas State University'!E22)</f>
        <v>1172842.66666667</v>
      </c>
      <c r="F110" s="4" t="n">
        <f aca="false">N('Arkansas State University'!F18)+N('Arkansas State University'!F19)+N('Arkansas State University'!F20)+N('Arkansas State University'!F22)</f>
        <v>868344.5</v>
      </c>
      <c r="G110" s="4" t="n">
        <f aca="false">N('Arkansas State University'!G18)+N('Arkansas State University'!G19)+N('Arkansas State University'!G20)+N('Arkansas State University'!G22)</f>
        <v>891745.5</v>
      </c>
      <c r="H110" s="4" t="n">
        <f aca="false">N('Arkansas State University'!H18)+N('Arkansas State University'!H19)+N('Arkansas State University'!H20)+N('Arkansas State University'!H22)</f>
        <v>816686.666666667</v>
      </c>
      <c r="I110" s="4" t="n">
        <f aca="false">N('Arkansas State University'!I18)+N('Arkansas State University'!I19)+N('Arkansas State University'!I20)+N('Arkansas State University'!I22)</f>
        <v>741501.5</v>
      </c>
      <c r="J110" s="4" t="n">
        <f aca="false">N('Arkansas State University'!J18)+N('Arkansas State University'!J19)+N('Arkansas State University'!J20)+N('Arkansas State University'!J22)</f>
        <v>807080.5</v>
      </c>
      <c r="K110" s="4" t="n">
        <f aca="false">N('Arkansas State University'!K18)+N('Arkansas State University'!K19)+N('Arkansas State University'!K20)+N('Arkansas State University'!K22)</f>
        <v>969182</v>
      </c>
      <c r="L110" s="4" t="n">
        <f aca="false">N('Arkansas State University'!L18)+N('Arkansas State University'!L19)+N('Arkansas State University'!L20)+N('Arkansas State University'!L22)</f>
        <v>1065991</v>
      </c>
      <c r="M110" s="4" t="n">
        <f aca="false">N('Arkansas State University'!M18)+N('Arkansas State University'!M19)+N('Arkansas State University'!M20)+N('Arkansas State University'!M22)</f>
        <v>1289919</v>
      </c>
    </row>
    <row r="111" customFormat="false" ht="15" hidden="false" customHeight="false" outlineLevel="0" collapsed="false">
      <c r="A111" s="0" t="s">
        <v>92</v>
      </c>
      <c r="C111" s="17" t="n">
        <f aca="false">C110/B110-1</f>
        <v>1.16967741935484</v>
      </c>
      <c r="D111" s="17" t="n">
        <f aca="false">D110/C110-1</f>
        <v>-0.197370155615026</v>
      </c>
      <c r="E111" s="17" t="n">
        <f aca="false">E110/D110-1</f>
        <v>0.0862695205108344</v>
      </c>
      <c r="F111" s="17" t="n">
        <f aca="false">F110/E110-1</f>
        <v>-0.259624053013078</v>
      </c>
      <c r="G111" s="17" t="n">
        <f aca="false">G110/F110-1</f>
        <v>0.0269489816541706</v>
      </c>
      <c r="H111" s="17" t="n">
        <f aca="false">H110/G110-1</f>
        <v>-0.0841706892082254</v>
      </c>
      <c r="I111" s="17" t="n">
        <f aca="false">I110/H110-1</f>
        <v>-0.0920612148273919</v>
      </c>
      <c r="J111" s="17" t="n">
        <f aca="false">J110/I110-1</f>
        <v>0.088440819067797</v>
      </c>
      <c r="K111" s="17" t="n">
        <f aca="false">K110/J110-1</f>
        <v>0.200849233750537</v>
      </c>
      <c r="L111" s="17" t="n">
        <f aca="false">L110/K110-1</f>
        <v>0.0998873276639476</v>
      </c>
      <c r="M111" s="17" t="n">
        <f aca="false">M110/L110-1</f>
        <v>0.210065563405319</v>
      </c>
    </row>
    <row r="112" customFormat="false" ht="15" hidden="false" customHeight="false" outlineLevel="0" collapsed="false">
      <c r="A112" s="9" t="s">
        <v>94</v>
      </c>
    </row>
    <row r="114" customFormat="false" ht="15" hidden="false" customHeight="false" outlineLevel="0" collapsed="false">
      <c r="A114" s="2" t="s">
        <v>95</v>
      </c>
    </row>
    <row r="115" customFormat="false" ht="15" hidden="false" customHeight="false" outlineLevel="0" collapsed="false">
      <c r="A115" s="0" t="s">
        <v>96</v>
      </c>
      <c r="B115" s="2" t="str">
        <f aca="false">IF(ABS('Arkansas State University'!N23-14750000)&lt;1,"OK","REVISAR")</f>
        <v>OK</v>
      </c>
    </row>
    <row r="116" customFormat="false" ht="15" hidden="false" customHeight="false" outlineLevel="0" collapsed="false">
      <c r="A116" s="0" t="s">
        <v>97</v>
      </c>
      <c r="B116" s="2" t="str">
        <f aca="false">IF(AND(ABS(SUM('Arkansas State University'!B16:M16)-544187)&lt;0.01,ABS(SUM('Arkansas State University'!B17:M17)-833502)&lt;0.01,ABS(SUM('Arkansas State University'!B20:M20)-2338682)&lt;0.01,ABS(SUM('Arkansas State University'!B21:M21)-1704120)&lt;0.01,ABS(SUM('Arkansas State University'!B22:M22)-55400)&lt;0.01,ABS(SUM('Arkansas State University'!B23:M23)-14750000)&lt;0.01,ABS(SUM('Arkansas State University'!B24:M24)--770000)&lt;0.01,ABS('Arkansas State University'!B18+'Arkansas State University'!B19-470000)&lt;0.01,ABS('Arkansas State University'!C18+'Arkansas State University'!C19-1079700)&lt;0.01,ABS('Arkansas State University'!D18+'Arkansas State University'!D19-991644.666666666)&lt;0.01,ABS('Arkansas State University'!E18+'Arkansas State University'!E19-1094400.66666666)&lt;0.01,ABS('Arkansas State University'!F18+'Arkansas State University'!F19-766370.5)&lt;0.01,ABS('Arkansas State University'!G18+'Arkansas State University'!G19-759178.5)&lt;0.01,ABS('Arkansas State University'!H18+'Arkansas State University'!H19-617836.666666666)&lt;0.01,ABS('Arkansas State University'!I18+'Arkansas State University'!I19-482995.5)&lt;0.01,ABS('Arkansas State University'!J18+'Arkansas State University'!J19-548574.5)&lt;0.01,ABS('Arkansas State University'!K18+'Arkansas State University'!K19-710677)&lt;0.01,ABS('Arkansas State University'!L18+'Arkansas State University'!L19-764401)&lt;0.01,ABS('Arkansas State University'!M18+'Arkansas State University'!M19-988330)&lt;0.01),"OK","REVISAR")</f>
        <v>OK</v>
      </c>
    </row>
    <row r="117" customFormat="false" ht="15" hidden="false" customHeight="false" outlineLevel="0" collapsed="false">
      <c r="A117" s="0" t="s">
        <v>98</v>
      </c>
      <c r="B117" s="2" t="str">
        <f aca="false">IF(AND(ABS('Arkansas State University'!D19-90847.3333333333)&lt;0.05,ABS('Arkansas State University'!E19-118102.333333333)&lt;0.05,ABS('Arkansas State University'!F19-82961.5)&lt;0.05,ABS('Arkansas State University'!G19-107850.5)&lt;0.05,ABS('Arkansas State University'!H19-136489.77)&lt;0.05,ABS('Arkansas State University'!I19-136489.77)&lt;0.05,ABS('Arkansas State University'!J19-136489.77)&lt;0.05,ABS('Arkansas State University'!K19-136489.77)&lt;0.05,ABS('Arkansas State University'!L19-136489.77)&lt;0.05,ABS('Arkansas State University'!M19-136489.77)&lt;0.05),"OK","REVISAR")</f>
        <v>OK</v>
      </c>
    </row>
    <row r="118" customFormat="false" ht="15" hidden="false" customHeight="false" outlineLevel="0" collapsed="false">
      <c r="A118" s="0" t="s">
        <v>99</v>
      </c>
      <c r="B118" s="2" t="str">
        <f aca="false">IF(ABS('Arkansas State University'!I23-921875)&lt;1,"OK","REVISAR")</f>
        <v>OK</v>
      </c>
    </row>
    <row r="119" customFormat="false" ht="15" hidden="false" customHeight="false" outlineLevel="0" collapsed="false">
      <c r="A119" s="0" t="s">
        <v>100</v>
      </c>
      <c r="B119" s="2" t="str">
        <f aca="false">IF(AND(ABS(SUM('Arkansas State University'!B21:M21)-1704120)&lt;0.01,ABS(SUM('Arkansas State University'!B25:M25)-1133872)&lt;0.01,ABS(SUM('Arkansas State University'!B26:M26)-570248)&lt;0.01),"OK","REVISAR")</f>
        <v>OK</v>
      </c>
    </row>
    <row r="120" customFormat="false" ht="15" hidden="false" customHeight="false" outlineLevel="0" collapsed="false">
      <c r="A120" s="0" t="s">
        <v>101</v>
      </c>
      <c r="B120" s="2" t="str">
        <f aca="false">IF(ABS('Arkansas State University'!N35-2314.68870580283)&lt;0.001,"OK","REVISAR")</f>
        <v>OK</v>
      </c>
    </row>
    <row r="121" customFormat="false" ht="15" hidden="false" customHeight="false" outlineLevel="0" collapsed="false">
      <c r="A121" s="0" t="s">
        <v>102</v>
      </c>
      <c r="B121" s="2" t="str">
        <f aca="false">IF(AND(ABS('Arkansas State University'!B98-607.13)&lt;0.001,ABS('Arkansas State University'!C98-465.605)&lt;0.001,ABS('Arkansas State University'!D98-533.4)&lt;0.001,ABS('Arkansas State University'!E98-561.8025)&lt;0.001,ABS('Arkansas State University'!F98-590.205)&lt;0.001,ABS('Arkansas State University'!G98-408.75)&lt;0.001,ABS('Arkansas State University'!H98-427.3125)&lt;0.001,ABS('Arkansas State University'!I98-441)&lt;0.001,ABS('Arkansas State University'!J98-588.015)&lt;0.001,ABS('Arkansas State University'!K98-397.5)&lt;0.001,ABS('Arkansas State University'!L98-404.46)&lt;0.001,ABS('Arkansas State University'!M98-516.22)&lt;0.001,ABS('Arkansas State University'!B93-1422.45)&lt;0.001,ABS('Arkansas State University'!B94-1679.69)&lt;0.001,ABS('Arkansas State University'!B95-909.06)&lt;0.001,ABS('Arkansas State University'!B96-1830.8621)&lt;0.001,ABS('Arkansas State University'!B97-81.75)&lt;0.001,ABS('Arkansas State University'!C93-2051.925)&lt;0.001,ABS('Arkansas State University'!C94-1943.995)&lt;0.001,ABS('Arkansas State University'!C95-894.815)&lt;0.001,ABS('Arkansas State University'!C96-2439.713725)&lt;0.001,ABS('Arkansas State University'!C97-146.835)&lt;0.001),"OK","REVISAR")</f>
        <v>OK</v>
      </c>
    </row>
    <row r="122" customFormat="false" ht="15" hidden="false" customHeight="false" outlineLevel="0" collapsed="false">
      <c r="A122" s="0" t="s">
        <v>103</v>
      </c>
      <c r="B122" s="2" t="str">
        <f aca="false">IF(AND(ABS('Arkansas State University'!D93-1078.35*(1-'Arkansas State University'!$P$92))&lt;0.001,ABS('Arkansas State University'!D94-1573.95*(1-'Arkansas State University'!$P$92))&lt;0.001,ABS('Arkansas State University'!D95-792.75*(1-'Arkansas State University'!$P$92))&lt;0.001,ABS('Arkansas State University'!D96-1652.6475*(1-'Arkansas State University'!$P$92))&lt;0.001,ABS('Arkansas State University'!D97-129.15*(1-'Arkansas State University'!$P$92))&lt;0.001,ABS('Arkansas State University'!E93-1060.37*(1-'Arkansas State University'!$P$92))&lt;0.001,ABS('Arkansas State University'!E94-1196.26*(1-'Arkansas State University'!$P$92))&lt;0.001,ABS('Arkansas State University'!E95-877.4*(1-'Arkansas State University'!$P$92))&lt;0.001,ABS('Arkansas State University'!E96-1279.9982*(1-'Arkansas State University'!$P$92))&lt;0.001,ABS('Arkansas State University'!E97-140.17*(1-'Arkansas State University'!$P$92))&lt;0.001,ABS('Arkansas State University'!F93-1088.43*(1-'Arkansas State University'!$P$92))&lt;0.001,ABS('Arkansas State University'!F94-1222.02*(1-'Arkansas State University'!$P$92))&lt;0.001,ABS('Arkansas State University'!F95-868.335*(1-'Arkansas State University'!$P$92))&lt;0.001,ABS('Arkansas State University'!F96-1350.3321*(1-'Arkansas State University'!$P$92))&lt;0.001,ABS('Arkansas State University'!F97-98.55*(1-'Arkansas State University'!$P$92))&lt;0.001,ABS('Arkansas State University'!G93-1025.69*(1-'Arkansas State University'!$P$92))&lt;0.001,ABS('Arkansas State University'!G94-1688.41*(1-'Arkansas State University'!$P$92))&lt;0.001,ABS('Arkansas State University'!G95-845.84*(1-'Arkansas State University'!$P$92))&lt;0.001,ABS('Arkansas State University'!G96-1857.251*(1-'Arkansas State University'!$P$92))&lt;0.001,ABS('Arkansas State University'!G97-85.02*(1-'Arkansas State University'!$P$92))&lt;0.001,ABS('Arkansas State University'!H93-1439.425*(1-'Arkansas State University'!$P$92))&lt;0.001,ABS('Arkansas State University'!H94-1611.425*(1-'Arkansas State University'!$P$92))&lt;0.001,ABS('Arkansas State University'!H95-966.425*(1-'Arkansas State University'!$P$92))&lt;0.001,ABS('Arkansas State University'!H96-1796.738875*(1-'Arkansas State University'!$P$92))&lt;0.001,ABS('Arkansas State University'!H97-78.475*(1-'Arkansas State University'!$P$92))&lt;0.001,ABS('Arkansas State University'!I93-1459.5*(1-'Arkansas State University'!$P$92))&lt;0.001,ABS('Arkansas State University'!I94-1173.9*(1-'Arkansas State University'!$P$92))&lt;0.001,ABS('Arkansas State University'!I95-927.15*(1-'Arkansas State University'!$P$92))&lt;0.001,ABS('Arkansas State University'!I96-1232.595*(1-'Arkansas State University'!$P$92))&lt;0.001,ABS('Arkansas State University'!I97-78.75*(1-'Arkansas State University'!$P$92))&lt;0.001,ABS('Arkansas State University'!J93-1026.015*(1-'Arkansas State University'!$P$92))&lt;0.001,ABS('Arkansas State University'!J94-1222.02*(1-'Arkansas State University'!$P$92))&lt;0.001,ABS('Arkansas State University'!J95-1012.875*(1-'Arkansas State University'!$P$92))&lt;0.001,ABS('Arkansas State University'!J96-1338.1119*(1-'Arkansas State University'!$P$92))&lt;0.001,ABS('Arkansas State University'!J97-74.46*(1-'Arkansas State University'!$P$92))&lt;0.001,ABS('Arkansas State University'!K93-1298.5*(1-'Arkansas State University'!$P$92))&lt;0.001,ABS('Arkansas State University'!K94-1693.88*(1-'Arkansas State University'!$P$92))&lt;0.001,ABS('Arkansas State University'!K95-1098.16*(1-'Arkansas State University'!$P$92))&lt;0.001,ABS('Arkansas State University'!K96-2364.7275*(1-'Arkansas State University'!$P$92))&lt;0.001,ABS('Arkansas State University'!K97-115.54*(1-'Arkansas State University'!$P$92))&lt;0.001,ABS('Arkansas State University'!L93-1116.01*(1-'Arkansas State University'!$P$92))&lt;0.001,ABS('Arkansas State University'!L94-1527.96*(1-'Arkansas State University'!$P$92))&lt;0.001,ABS('Arkansas State University'!L95-1182.35*(1-'Arkansas State University'!$P$92))&lt;0.001,ABS('Arkansas State University'!L96-1787.7132*(1-'Arkansas State University'!$P$92))&lt;0.001,ABS('Arkansas State University'!L97-96.3*(1-'Arkansas State University'!$P$92))&lt;0.001,ABS('Arkansas State University'!M93-1282.6*(1-'Arkansas State University'!$P$92))&lt;0.001,ABS('Arkansas State University'!M94-1535.94*(1-'Arkansas State University'!$P$92))&lt;0.001,ABS('Arkansas State University'!M95-965.66*(1-'Arkansas State University'!$P$92))&lt;0.001,ABS('Arkansas State University'!M96-1966.0032*(1-'Arkansas State University'!$P$92))&lt;0.001,ABS('Arkansas State University'!M97-97.52*(1-'Arkansas State University'!$P$92))&lt;0.001),"OK","REVISAR")</f>
        <v>OK</v>
      </c>
    </row>
    <row r="123" customFormat="false" ht="15" hidden="false" customHeight="false" outlineLevel="0" collapsed="false">
      <c r="A123" s="0" t="s">
        <v>104</v>
      </c>
      <c r="B123" s="2" t="str">
        <f aca="false">IF(AND(ABS('Texas State University'!N23-5200000)&lt;1,ABS('Texas State University'!N36-5505.56095526807)&lt;0.001,ABS('Texas State University'!N44-76.4180669488736)&lt;0.001),"OK","REVISAR")</f>
        <v>OK</v>
      </c>
    </row>
    <row r="124" customFormat="false" ht="15" hidden="false" customHeight="false" outlineLevel="0" collapsed="false">
      <c r="A124" s="0" t="s">
        <v>105</v>
      </c>
      <c r="B124" s="2" t="str">
        <f aca="false">IF(AND(ABS(SUM('Texas State University'!B16:M16)-318320)&lt;0.01,ABS(SUM('Texas State University'!B17:M17)-890320)&lt;0.01,ABS(SUM('Texas State University'!B18:M18)-2007720)&lt;0.01,ABS(SUM('Texas State University'!B19:M19)-176480)&lt;0.01,ABS(SUM('Texas State University'!B20:M20)-729560)&lt;0.01,ABS(SUM('Texas State University'!B21:M21)-1057120)&lt;0.01,ABS(SUM('Texas State University'!B22:M22)-20480)&lt;0.01,ABS(SUM('Texas State University'!B23:M23)-5200000)&lt;0.01,ABS(SUM('Texas State University'!B24:M24)-0)&lt;0.01,ABS(SUM('Texas State University'!B25:M25)-437176)&lt;0.01,ABS(SUM('Texas State University'!B26:M26)-619944)&lt;0.01),"OK","REVISAR")</f>
        <v>OK</v>
      </c>
    </row>
    <row r="125" customFormat="false" ht="15" hidden="false" customHeight="false" outlineLevel="0" collapsed="false">
      <c r="A125" s="0" t="s">
        <v>106</v>
      </c>
      <c r="B125" s="2" t="str">
        <f aca="false">IF(AND(ABS('Texas State University'!P38-1512.6)&lt;0.001,ABS('Texas State University'!P40-78)&lt;0.001,ABS(C11-'Texas State University'!P42)&lt;0.001),"OK","REVISAR")</f>
        <v>OK</v>
      </c>
    </row>
    <row r="126" customFormat="false" ht="15" hidden="false" customHeight="false" outlineLevel="0" collapsed="false">
      <c r="A126" s="0" t="s">
        <v>107</v>
      </c>
      <c r="B126" s="2" t="str">
        <f aca="false">IF(AND(ABS('Eventos Elisia'!N5-1190192)&lt;0.01,ABS('Eventos Elisia'!N13-1863.72299960037)&lt;0.001),"OK","REVISAR")</f>
        <v>OK</v>
      </c>
    </row>
    <row r="127" customFormat="false" ht="15" hidden="false" customHeight="false" outlineLevel="0" collapsed="false">
      <c r="A127" s="0" t="s">
        <v>108</v>
      </c>
      <c r="B127" s="2" t="str">
        <f aca="false">IF(AND(ABS('Arkansas State University'!P38-2006)&lt;0.001,ABS(B45-'Arkansas State University'!B55)&lt;0.001,ABS(C45-'Arkansas State University'!C55)&lt;0.001),"OK","REVISAR")</f>
        <v>OK</v>
      </c>
    </row>
    <row r="128" customFormat="false" ht="15" hidden="false" customHeight="false" outlineLevel="0" collapsed="false">
      <c r="A128" s="0" t="s">
        <v>109</v>
      </c>
      <c r="B128" s="2" t="str">
        <f aca="false">IF(C21&gt;=0,"OK","NO LLEGA: faltan "&amp;TEXT(-C21,"#,##0.0")&amp;" leads")</f>
        <v>OK</v>
      </c>
    </row>
    <row r="129" customFormat="false" ht="15" hidden="false" customHeight="false" outlineLevel="0" collapsed="false">
      <c r="A129" s="0" t="s">
        <v>110</v>
      </c>
      <c r="B129" s="2" t="str">
        <f aca="false">IF(B36&lt;C20,"OK","REVISAR")</f>
        <v>OK</v>
      </c>
    </row>
    <row r="130" customFormat="false" ht="15" hidden="false" customHeight="false" outlineLevel="0" collapsed="false">
      <c r="A130" s="0" t="s">
        <v>111</v>
      </c>
      <c r="B130" s="2" t="str">
        <f aca="false">IF(AND(ABS(C16-23850000)&lt;1,ABS(B16-23850000)&lt;1),"OK","REVISAR")</f>
        <v>OK</v>
      </c>
    </row>
    <row r="131" customFormat="false" ht="15" hidden="false" customHeight="false" outlineLevel="0" collapsed="false">
      <c r="A131" s="9" t="s">
        <v>112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8761D"/>
    <outlinePr summaryBelow="0"/>
    <pageSetUpPr fitToPage="false"/>
  </sheetPr>
  <dimension ref="A1:P10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customHeight="true" zeroHeight="false" outlineLevelRow="0" outlineLevelCol="0"/>
  <cols>
    <col collapsed="false" customWidth="true" hidden="false" outlineLevel="0" max="1" min="1" style="18" width="20.38"/>
    <col collapsed="false" customWidth="true" hidden="false" outlineLevel="0" max="4" min="4" style="18" width="13"/>
    <col collapsed="false" customWidth="true" hidden="false" outlineLevel="0" max="8" min="8" style="18" width="13"/>
  </cols>
  <sheetData>
    <row r="1" customFormat="false" ht="15.75" hidden="false" customHeight="true" outlineLevel="0" collapsed="false">
      <c r="A1" s="19" t="s">
        <v>113</v>
      </c>
      <c r="B1" s="20" t="s">
        <v>114</v>
      </c>
      <c r="C1" s="21" t="s">
        <v>115</v>
      </c>
      <c r="D1" s="22" t="s">
        <v>116</v>
      </c>
      <c r="E1" s="23"/>
      <c r="F1" s="24" t="s">
        <v>117</v>
      </c>
      <c r="G1" s="25" t="n">
        <f aca="false">14750000-(B23+C23)</f>
        <v>11980000</v>
      </c>
      <c r="H1" s="26" t="s">
        <v>118</v>
      </c>
      <c r="I1" s="26" t="s">
        <v>119</v>
      </c>
      <c r="J1" s="26" t="s">
        <v>120</v>
      </c>
      <c r="K1" s="26" t="s">
        <v>121</v>
      </c>
      <c r="L1" s="27"/>
      <c r="M1" s="27"/>
      <c r="N1" s="27"/>
      <c r="O1" s="27"/>
    </row>
    <row r="2" customFormat="false" ht="15.75" hidden="false" customHeight="true" outlineLevel="0" collapsed="false">
      <c r="A2" s="28" t="s">
        <v>67</v>
      </c>
      <c r="B2" s="29" t="n">
        <v>0.05</v>
      </c>
      <c r="C2" s="29" t="n">
        <v>0.05</v>
      </c>
      <c r="D2" s="30" t="n">
        <v>0.05</v>
      </c>
      <c r="E2" s="23"/>
      <c r="F2" s="23"/>
      <c r="G2" s="23"/>
      <c r="H2" s="31" t="n">
        <v>0.35</v>
      </c>
      <c r="I2" s="32" t="n">
        <f aca="false">G1*H2</f>
        <v>4193000</v>
      </c>
      <c r="J2" s="27" t="n">
        <v>3</v>
      </c>
      <c r="K2" s="32" t="n">
        <f aca="false">I2/J2</f>
        <v>1397666.66666667</v>
      </c>
      <c r="L2" s="27"/>
      <c r="M2" s="27"/>
      <c r="N2" s="27"/>
      <c r="O2" s="27"/>
    </row>
    <row r="3" customFormat="false" ht="15.75" hidden="false" customHeight="true" outlineLevel="0" collapsed="false">
      <c r="A3" s="28" t="s">
        <v>68</v>
      </c>
      <c r="B3" s="29" t="n">
        <v>0.12</v>
      </c>
      <c r="C3" s="29" t="n">
        <v>0.12</v>
      </c>
      <c r="D3" s="30" t="n">
        <v>0.12</v>
      </c>
      <c r="E3" s="23"/>
      <c r="F3" s="27"/>
      <c r="G3" s="27"/>
      <c r="H3" s="31" t="n">
        <v>0.35</v>
      </c>
      <c r="I3" s="32" t="n">
        <f aca="false">G1*H3</f>
        <v>4193000</v>
      </c>
      <c r="J3" s="27" t="n">
        <v>4</v>
      </c>
      <c r="K3" s="32" t="n">
        <f aca="false">I3/J3</f>
        <v>1048250</v>
      </c>
      <c r="L3" s="27"/>
      <c r="M3" s="27"/>
      <c r="N3" s="27"/>
      <c r="O3" s="27"/>
    </row>
    <row r="4" customFormat="false" ht="15.75" hidden="false" customHeight="true" outlineLevel="0" collapsed="false">
      <c r="A4" s="28" t="s">
        <v>69</v>
      </c>
      <c r="B4" s="29" t="n">
        <v>0.59</v>
      </c>
      <c r="C4" s="29" t="n">
        <v>0.58</v>
      </c>
      <c r="D4" s="30" t="n">
        <v>0.57</v>
      </c>
      <c r="E4" s="23"/>
      <c r="F4" s="23"/>
      <c r="G4" s="23"/>
      <c r="H4" s="31" t="n">
        <v>0.3</v>
      </c>
      <c r="I4" s="32" t="n">
        <f aca="false">G1*H4</f>
        <v>3594000</v>
      </c>
      <c r="J4" s="27" t="n">
        <v>3</v>
      </c>
      <c r="K4" s="32" t="n">
        <f aca="false">I4/J4</f>
        <v>1198000</v>
      </c>
      <c r="L4" s="27"/>
      <c r="M4" s="27"/>
      <c r="N4" s="27"/>
      <c r="O4" s="27"/>
    </row>
    <row r="5" customFormat="false" ht="15.75" hidden="false" customHeight="true" outlineLevel="0" collapsed="false">
      <c r="A5" s="28" t="s">
        <v>70</v>
      </c>
      <c r="B5" s="29" t="n">
        <v>0.05</v>
      </c>
      <c r="C5" s="29" t="n">
        <v>0.05</v>
      </c>
      <c r="D5" s="30" t="n">
        <v>0.05</v>
      </c>
      <c r="E5" s="23"/>
      <c r="F5" s="23"/>
      <c r="G5" s="23"/>
      <c r="H5" s="33" t="n">
        <f aca="false">SUM(H2:H4)</f>
        <v>1</v>
      </c>
      <c r="I5" s="34" t="n">
        <f aca="false">SUM(I2:I4)+(B23+C23)</f>
        <v>14750000</v>
      </c>
      <c r="J5" s="27"/>
      <c r="K5" s="27"/>
      <c r="L5" s="27"/>
      <c r="M5" s="27"/>
      <c r="N5" s="27"/>
      <c r="O5" s="27"/>
    </row>
    <row r="6" customFormat="false" ht="15.75" hidden="false" customHeight="true" outlineLevel="0" collapsed="false">
      <c r="A6" s="28" t="s">
        <v>122</v>
      </c>
      <c r="B6" s="29" t="n">
        <v>0.09</v>
      </c>
      <c r="C6" s="29" t="n">
        <v>0.08</v>
      </c>
      <c r="D6" s="30" t="n">
        <v>0.07</v>
      </c>
      <c r="E6" s="23"/>
      <c r="F6" s="23"/>
      <c r="G6" s="23"/>
      <c r="H6" s="27"/>
      <c r="I6" s="27"/>
      <c r="J6" s="27"/>
      <c r="K6" s="27"/>
      <c r="L6" s="27"/>
      <c r="M6" s="27"/>
      <c r="N6" s="27"/>
      <c r="O6" s="27"/>
    </row>
    <row r="7" customFormat="false" ht="15.75" hidden="false" customHeight="true" outlineLevel="0" collapsed="false">
      <c r="A7" s="35" t="s">
        <v>123</v>
      </c>
      <c r="B7" s="36" t="n">
        <v>0.1</v>
      </c>
      <c r="C7" s="36" t="n">
        <v>0.12</v>
      </c>
      <c r="D7" s="36" t="n">
        <v>0.14</v>
      </c>
      <c r="E7" s="23"/>
      <c r="F7" s="23"/>
      <c r="G7" s="23"/>
      <c r="H7" s="23"/>
      <c r="I7" s="27"/>
      <c r="J7" s="27"/>
      <c r="K7" s="27"/>
      <c r="L7" s="27"/>
      <c r="M7" s="27"/>
      <c r="N7" s="27"/>
      <c r="O7" s="27"/>
    </row>
    <row r="8" customFormat="false" ht="15.75" hidden="false" customHeight="true" outlineLevel="0" collapsed="false">
      <c r="A8" s="28" t="s">
        <v>124</v>
      </c>
      <c r="B8" s="29" t="n">
        <v>0</v>
      </c>
      <c r="C8" s="29" t="n">
        <v>0</v>
      </c>
      <c r="D8" s="30" t="n">
        <v>0</v>
      </c>
      <c r="E8" s="23"/>
      <c r="F8" s="23"/>
      <c r="G8" s="23"/>
      <c r="H8" s="23"/>
      <c r="I8" s="27"/>
      <c r="J8" s="27"/>
      <c r="K8" s="27"/>
      <c r="L8" s="27"/>
      <c r="M8" s="27"/>
      <c r="N8" s="27"/>
      <c r="O8" s="27"/>
    </row>
    <row r="9" customFormat="false" ht="15.75" hidden="false" customHeight="true" outlineLevel="0" collapsed="false">
      <c r="A9" s="37" t="s">
        <v>125</v>
      </c>
      <c r="B9" s="38" t="n">
        <f aca="false">K2</f>
        <v>1397666.66666667</v>
      </c>
      <c r="C9" s="39" t="n">
        <f aca="false">K3</f>
        <v>1048250</v>
      </c>
      <c r="D9" s="40" t="n">
        <f aca="false">K4</f>
        <v>1198000</v>
      </c>
      <c r="E9" s="23"/>
      <c r="F9" s="23"/>
      <c r="G9" s="23"/>
      <c r="H9" s="23"/>
      <c r="I9" s="27"/>
      <c r="J9" s="27"/>
      <c r="K9" s="27"/>
      <c r="L9" s="27"/>
      <c r="M9" s="27"/>
      <c r="N9" s="27"/>
      <c r="O9" s="27"/>
    </row>
    <row r="10" customFormat="false" ht="15.75" hidden="false" customHeight="true" outlineLevel="0" collapsed="false">
      <c r="A10" s="37" t="s">
        <v>47</v>
      </c>
      <c r="B10" s="41" t="n">
        <f aca="false">SUM(B2:B8)</f>
        <v>1</v>
      </c>
      <c r="C10" s="42" t="n">
        <f aca="false">SUM(C2:C8)</f>
        <v>1</v>
      </c>
      <c r="D10" s="43" t="n">
        <f aca="false">SUM(D2:D8)</f>
        <v>1</v>
      </c>
      <c r="E10" s="23"/>
      <c r="F10" s="23"/>
      <c r="G10" s="23"/>
      <c r="H10" s="23"/>
      <c r="I10" s="27"/>
      <c r="J10" s="27"/>
      <c r="K10" s="27"/>
      <c r="L10" s="27"/>
      <c r="M10" s="27"/>
      <c r="N10" s="27"/>
      <c r="O10" s="27"/>
    </row>
    <row r="11" customFormat="false" ht="15.75" hidden="false" customHeight="true" outlineLevel="0" collapsed="false">
      <c r="A11" s="27"/>
      <c r="B11" s="23"/>
      <c r="C11" s="23"/>
      <c r="D11" s="23"/>
      <c r="E11" s="23"/>
      <c r="F11" s="23"/>
      <c r="G11" s="23"/>
      <c r="H11" s="23"/>
      <c r="I11" s="27"/>
      <c r="J11" s="27"/>
      <c r="K11" s="27"/>
      <c r="L11" s="27"/>
      <c r="M11" s="27"/>
      <c r="N11" s="27"/>
      <c r="O11" s="27"/>
    </row>
    <row r="12" customFormat="false" ht="15.75" hidden="false" customHeight="true" outlineLevel="0" collapsed="false">
      <c r="A12" s="27"/>
      <c r="B12" s="23"/>
      <c r="C12" s="23"/>
      <c r="D12" s="23"/>
      <c r="E12" s="23"/>
      <c r="F12" s="23"/>
      <c r="G12" s="23"/>
      <c r="H12" s="23"/>
      <c r="I12" s="27"/>
      <c r="J12" s="27"/>
      <c r="K12" s="27"/>
      <c r="L12" s="27"/>
      <c r="M12" s="27"/>
      <c r="N12" s="27"/>
      <c r="O12" s="27"/>
    </row>
    <row r="13" customFormat="false" ht="15.75" hidden="false" customHeight="true" outlineLevel="0" collapsed="false">
      <c r="A13" s="44" t="s">
        <v>125</v>
      </c>
      <c r="B13" s="45" t="n">
        <f aca="false">SUM(B23:F23)/N23</f>
        <v>0.45480009039548</v>
      </c>
      <c r="C13" s="45"/>
      <c r="D13" s="45"/>
      <c r="E13" s="45"/>
      <c r="F13" s="45"/>
      <c r="G13" s="46" t="n">
        <f aca="false">SUM(G23:J23)/N23</f>
        <v>0.273230689265537</v>
      </c>
      <c r="H13" s="46"/>
      <c r="I13" s="46"/>
      <c r="J13" s="46"/>
      <c r="K13" s="47" t="n">
        <f aca="false">SUM(K23:M23)/N23</f>
        <v>0.271969220338983</v>
      </c>
      <c r="L13" s="47"/>
      <c r="M13" s="47"/>
      <c r="N13" s="48" t="s">
        <v>126</v>
      </c>
      <c r="O13" s="48" t="s">
        <v>127</v>
      </c>
    </row>
    <row r="14" customFormat="false" ht="15.75" hidden="false" customHeight="true" outlineLevel="0" collapsed="false">
      <c r="A14" s="49" t="s">
        <v>128</v>
      </c>
      <c r="B14" s="50" t="n">
        <v>46235</v>
      </c>
      <c r="C14" s="51" t="n">
        <v>46266</v>
      </c>
      <c r="D14" s="51" t="n">
        <v>46296</v>
      </c>
      <c r="E14" s="51" t="n">
        <v>46327</v>
      </c>
      <c r="F14" s="51" t="n">
        <v>46357</v>
      </c>
      <c r="G14" s="50" t="n">
        <v>46388</v>
      </c>
      <c r="H14" s="51" t="n">
        <v>46419</v>
      </c>
      <c r="I14" s="51" t="n">
        <v>46447</v>
      </c>
      <c r="J14" s="51" t="n">
        <v>46478</v>
      </c>
      <c r="K14" s="50" t="n">
        <v>46508</v>
      </c>
      <c r="L14" s="51" t="n">
        <v>46539</v>
      </c>
      <c r="M14" s="52" t="n">
        <v>46569</v>
      </c>
      <c r="N14" s="48"/>
      <c r="O14" s="48"/>
    </row>
    <row r="15" customFormat="false" ht="15.75" hidden="false" customHeight="true" outlineLevel="0" collapsed="false">
      <c r="A15" s="49"/>
      <c r="B15" s="53" t="s">
        <v>114</v>
      </c>
      <c r="C15" s="53" t="s">
        <v>114</v>
      </c>
      <c r="D15" s="54" t="s">
        <v>114</v>
      </c>
      <c r="E15" s="54" t="s">
        <v>114</v>
      </c>
      <c r="F15" s="54" t="s">
        <v>115</v>
      </c>
      <c r="G15" s="53" t="s">
        <v>115</v>
      </c>
      <c r="H15" s="54" t="s">
        <v>114</v>
      </c>
      <c r="I15" s="54" t="s">
        <v>115</v>
      </c>
      <c r="J15" s="54" t="s">
        <v>115</v>
      </c>
      <c r="K15" s="53" t="s">
        <v>116</v>
      </c>
      <c r="L15" s="54" t="s">
        <v>116</v>
      </c>
      <c r="M15" s="55" t="s">
        <v>116</v>
      </c>
      <c r="N15" s="48"/>
      <c r="O15" s="48"/>
    </row>
    <row r="16" customFormat="false" ht="15.75" hidden="false" customHeight="true" outlineLevel="0" collapsed="false">
      <c r="A16" s="56" t="str">
        <f aca="false">A$2</f>
        <v>Google SEM</v>
      </c>
      <c r="B16" s="57" t="n">
        <v>90000</v>
      </c>
      <c r="C16" s="58" t="n">
        <v>159300</v>
      </c>
      <c r="D16" s="59" t="n">
        <f aca="false">_xlfn.XLOOKUP(D$15,$B$1:$D$1,$B2:$D2)*(D$23-D$24)-9085</f>
        <v>60798.3333333333</v>
      </c>
      <c r="E16" s="59" t="n">
        <f aca="false">_xlfn.XLOOKUP(E$15,$B$1:$D$1,$B2:$D2)*(E$23-E$24)-18414</f>
        <v>51469.3333333333</v>
      </c>
      <c r="F16" s="59" t="n">
        <f aca="false">_xlfn.XLOOKUP(F$15,$B$1:$D$1,$B2:$D2)*(F$23-F$24)-9702</f>
        <v>42710.5</v>
      </c>
      <c r="G16" s="60" t="n">
        <f aca="false">_xlfn.XLOOKUP(G$15,$B$1:$D$1,$B2:$D2)*(G$23-G$24)-20323</f>
        <v>32089.5</v>
      </c>
      <c r="H16" s="59" t="n">
        <f aca="false">_xlfn.XLOOKUP(H$15,$B$1:$D$1,$B2:$D2)*(H$23-H$24)-47421</f>
        <v>22462.3333333333</v>
      </c>
      <c r="I16" s="59" t="n">
        <f aca="false">_xlfn.XLOOKUP(I$15,$B$1:$D$1,$B2:$D2)*(I$23-I$24)-36689</f>
        <v>15723.5</v>
      </c>
      <c r="J16" s="59" t="n">
        <f aca="false">_xlfn.XLOOKUP(J$15,$B$1:$D$1,$B2:$D2)*(J$23-J$24)-36689</f>
        <v>15723.5</v>
      </c>
      <c r="K16" s="60" t="n">
        <f aca="false">_xlfn.XLOOKUP(K$15,$B$1:$D$1,$B2:$D2)*(K$23-K$24)-41930</f>
        <v>17970</v>
      </c>
      <c r="L16" s="59" t="n">
        <f aca="false">_xlfn.XLOOKUP(L$15,$B$1:$D$1,$B2:$D2)*(L$23-L$24)-41930</f>
        <v>17970</v>
      </c>
      <c r="M16" s="61" t="n">
        <f aca="false">_xlfn.XLOOKUP(M$15,$B$1:$D$1,$B2:$D2)*(M$23-M$24)-41930</f>
        <v>17970</v>
      </c>
      <c r="N16" s="62" t="n">
        <f aca="false">SUM(B16:M16)</f>
        <v>544187</v>
      </c>
      <c r="O16" s="62" t="n">
        <f aca="false">N16/N30</f>
        <v>1241.62252382544</v>
      </c>
    </row>
    <row r="17" customFormat="false" ht="15.75" hidden="false" customHeight="true" outlineLevel="0" collapsed="false">
      <c r="A17" s="56" t="str">
        <f aca="false">A$3</f>
        <v>Google PMax</v>
      </c>
      <c r="B17" s="57" t="n">
        <v>100000</v>
      </c>
      <c r="C17" s="58" t="n">
        <v>177000</v>
      </c>
      <c r="D17" s="59" t="n">
        <f aca="false">_xlfn.XLOOKUP(D$15,$B$1:$D$1,$B3:$D3)*(D$23-D$24)-50316</f>
        <v>117404</v>
      </c>
      <c r="E17" s="59" t="n">
        <f aca="false">_xlfn.XLOOKUP(E$15,$B$1:$D$1,$B3:$D3)*(E$23-E$24)-85537</f>
        <v>82183</v>
      </c>
      <c r="F17" s="59" t="n">
        <f aca="false">_xlfn.XLOOKUP(F$15,$B$1:$D$1,$B3:$D3)*(F$23-F$24)-68262</f>
        <v>57528</v>
      </c>
      <c r="G17" s="60" t="n">
        <f aca="false">_xlfn.XLOOKUP(G$15,$B$1:$D$1,$B3:$D3)*(G$23-G$24)-82700</f>
        <v>43090</v>
      </c>
      <c r="H17" s="59" t="n">
        <f aca="false">_xlfn.XLOOKUP(H$15,$B$1:$D$1,$B3:$D3)*(H$23-H$24)-117404</f>
        <v>50316</v>
      </c>
      <c r="I17" s="59" t="n">
        <f aca="false">_xlfn.XLOOKUP(I$15,$B$1:$D$1,$B3:$D3)*(I$23-I$24)-86930</f>
        <v>38860</v>
      </c>
      <c r="J17" s="59" t="n">
        <f aca="false">_xlfn.XLOOKUP(J$15,$B$1:$D$1,$B3:$D3)*(J$23-J$24)-88053</f>
        <v>37737</v>
      </c>
      <c r="K17" s="60" t="n">
        <f aca="false">_xlfn.XLOOKUP(K$15,$B$1:$D$1,$B3:$D3)*(K$23-K$24)-100632</f>
        <v>43128</v>
      </c>
      <c r="L17" s="59" t="n">
        <f aca="false">_xlfn.XLOOKUP(L$15,$B$1:$D$1,$B3:$D3)*(L$23-L$24)-100632</f>
        <v>43128</v>
      </c>
      <c r="M17" s="61" t="n">
        <f aca="false">_xlfn.XLOOKUP(M$15,$B$1:$D$1,$B3:$D3)*(M$23-M$24)-100632</f>
        <v>43128</v>
      </c>
      <c r="N17" s="62" t="n">
        <f aca="false">SUM(B17:M17)</f>
        <v>833502</v>
      </c>
      <c r="O17" s="62" t="n">
        <f aca="false">N17/N31</f>
        <v>1393.72822938597</v>
      </c>
    </row>
    <row r="18" customFormat="false" ht="15.75" hidden="false" customHeight="true" outlineLevel="0" collapsed="false">
      <c r="A18" s="56" t="str">
        <f aca="false">A$4</f>
        <v>Meta: FB/IG Forms</v>
      </c>
      <c r="B18" s="57" t="n">
        <v>420000</v>
      </c>
      <c r="C18" s="58" t="n">
        <v>991200</v>
      </c>
      <c r="D18" s="59" t="n">
        <f aca="false">_xlfn.XLOOKUP(D$15,$B$1:$D$1,$B4:$D4)*(D$23-D$24)+118103-41929</f>
        <v>900797.333333333</v>
      </c>
      <c r="E18" s="59" t="n">
        <f aca="false">_xlfn.XLOOKUP(E$15,$B$1:$D$1,$B4:$D4)*(E$23-E$24)+235534-83859</f>
        <v>976298.333333333</v>
      </c>
      <c r="F18" s="59" t="n">
        <f aca="false">_xlfn.XLOOKUP(F$15,$B$1:$D$1,$B4:$D4)*(F$23-F$24)+134416-58992</f>
        <v>683409</v>
      </c>
      <c r="G18" s="60" t="n">
        <f aca="false">_xlfn.XLOOKUP(G$15,$B$1:$D$1,$B4:$D4)*(G$23-G$24)+134415-91072</f>
        <v>651328</v>
      </c>
      <c r="H18" s="59" t="n">
        <f aca="false">_xlfn.XLOOKUP(H$15,$B$1:$D$1,$B4:$D4)*(H$23-H$24)-227752-115524.44</f>
        <v>481346.893333333</v>
      </c>
      <c r="I18" s="59" t="n">
        <f aca="false">_xlfn.XLOOKUP(I$15,$B$1:$D$1,$B4:$D4)*(I$23-I$24)-140713-120766.27</f>
        <v>346505.73</v>
      </c>
      <c r="J18" s="59" t="n">
        <f aca="false">_xlfn.XLOOKUP(J$15,$B$1:$D$1,$B4:$D4)*(J$23-J$24)-75134-120766.27</f>
        <v>412084.73</v>
      </c>
      <c r="K18" s="60" t="n">
        <f aca="false">_xlfn.XLOOKUP(K$15,$B$1:$D$1,$B4:$D4)*(K$23-K$24)+9847-118519.77</f>
        <v>574187.23</v>
      </c>
      <c r="L18" s="59" t="n">
        <f aca="false">_xlfn.XLOOKUP(L$15,$B$1:$D$1,$B4:$D4)*(L$23-L$24)+63571-118519.77</f>
        <v>627911.23</v>
      </c>
      <c r="M18" s="61" t="n">
        <f aca="false">_xlfn.XLOOKUP(M$15,$B$1:$D$1,$B4:$D4)*(M$23-M$24)+287500-118519.77</f>
        <v>851840.23</v>
      </c>
      <c r="N18" s="62" t="n">
        <f aca="false">SUM(B18:M18)</f>
        <v>7916908.71</v>
      </c>
      <c r="O18" s="62" t="n">
        <f aca="false">N18/N32</f>
        <v>827.601957566469</v>
      </c>
    </row>
    <row r="19" customFormat="false" ht="15.75" hidden="false" customHeight="true" outlineLevel="0" collapsed="false">
      <c r="A19" s="56" t="str">
        <f aca="false">A$5</f>
        <v>Meta: Website Leads</v>
      </c>
      <c r="B19" s="57" t="n">
        <v>50000</v>
      </c>
      <c r="C19" s="58" t="n">
        <v>88500</v>
      </c>
      <c r="D19" s="59" t="n">
        <f aca="false">_xlfn.XLOOKUP(D$15,$B$1:$D$1,$B5:$D5)*(D$23-D$24)-20965+41929</f>
        <v>90847.3333333333</v>
      </c>
      <c r="E19" s="59" t="n">
        <f aca="false">_xlfn.XLOOKUP(E$15,$B$1:$D$1,$B5:$D5)*(E$23-E$24)-35640+83859</f>
        <v>118102.333333333</v>
      </c>
      <c r="F19" s="59" t="n">
        <f aca="false">_xlfn.XLOOKUP(F$15,$B$1:$D$1,$B5:$D5)*(F$23-F$24)-28443+58992</f>
        <v>82961.5</v>
      </c>
      <c r="G19" s="60" t="n">
        <f aca="false">_xlfn.XLOOKUP(G$15,$B$1:$D$1,$B5:$D5)*(G$23-G$24)-35634+91072</f>
        <v>107850.5</v>
      </c>
      <c r="H19" s="59" t="n">
        <f aca="false">_xlfn.XLOOKUP(H$15,$B$1:$D$1,$B5:$D5)*(H$23-H$24)-48918+115524.44</f>
        <v>136489.773333333</v>
      </c>
      <c r="I19" s="59" t="n">
        <f aca="false">_xlfn.XLOOKUP(I$15,$B$1:$D$1,$B5:$D5)*(I$23-I$24)-36689+120766.27</f>
        <v>136489.77</v>
      </c>
      <c r="J19" s="59" t="n">
        <f aca="false">_xlfn.XLOOKUP(J$15,$B$1:$D$1,$B5:$D5)*(J$23-J$24)-36689+120766.27</f>
        <v>136489.77</v>
      </c>
      <c r="K19" s="60" t="n">
        <f aca="false">_xlfn.XLOOKUP(K$15,$B$1:$D$1,$B5:$D5)*(K$23-K$24)-41930+118519.77</f>
        <v>136489.77</v>
      </c>
      <c r="L19" s="59" t="n">
        <f aca="false">_xlfn.XLOOKUP(L$15,$B$1:$D$1,$B5:$D5)*(L$23-L$24)-41930+118519.77</f>
        <v>136489.77</v>
      </c>
      <c r="M19" s="61" t="n">
        <f aca="false">_xlfn.XLOOKUP(M$15,$B$1:$D$1,$B5:$D5)*(M$23-M$24)-41930+118519.77</f>
        <v>136489.77</v>
      </c>
      <c r="N19" s="62" t="n">
        <f aca="false">SUM(B19:M19)</f>
        <v>1357200.29</v>
      </c>
      <c r="O19" s="62" t="n">
        <f aca="false">N19/N33</f>
        <v>1462.53131513883</v>
      </c>
    </row>
    <row r="20" customFormat="false" ht="15.75" hidden="false" customHeight="true" outlineLevel="0" collapsed="false">
      <c r="A20" s="56" t="str">
        <f aca="false">A$6</f>
        <v>Meta: Whatsapp</v>
      </c>
      <c r="B20" s="57" t="n">
        <v>130000</v>
      </c>
      <c r="C20" s="58" t="n">
        <v>230100</v>
      </c>
      <c r="D20" s="59" t="n">
        <f aca="false">_xlfn.XLOOKUP(D$15,$B$1:$D$1,$B6:$D6)*(D$23-D$24)-37737</f>
        <v>88053</v>
      </c>
      <c r="E20" s="59" t="n">
        <f aca="false">_xlfn.XLOOKUP(E$15,$B$1:$D$1,$B6:$D6)*(E$23-E$24)-47348</f>
        <v>78442</v>
      </c>
      <c r="F20" s="59" t="n">
        <f aca="false">_xlfn.XLOOKUP(F$15,$B$1:$D$1,$B6:$D6)*(F$23-F$24)+18114</f>
        <v>101974</v>
      </c>
      <c r="G20" s="60" t="n">
        <f aca="false">_xlfn.XLOOKUP(G$15,$B$1:$D$1,$B6:$D6)*(G$23-G$24)+48707</f>
        <v>132567</v>
      </c>
      <c r="H20" s="59" t="n">
        <f aca="false">_xlfn.XLOOKUP(H$15,$B$1:$D$1,$B6:$D6)*(H$23-H$24)+73060</f>
        <v>198850</v>
      </c>
      <c r="I20" s="59" t="n">
        <f aca="false">_xlfn.XLOOKUP(I$15,$B$1:$D$1,$B6:$D6)*(I$23-I$24)+174646</f>
        <v>258506</v>
      </c>
      <c r="J20" s="59" t="n">
        <f aca="false">_xlfn.XLOOKUP(J$15,$B$1:$D$1,$B6:$D6)*(J$23-J$24)+174646</f>
        <v>258506</v>
      </c>
      <c r="K20" s="60" t="n">
        <f aca="false">_xlfn.XLOOKUP(K$15,$B$1:$D$1,$B6:$D6)*(K$23-K$24)+174645</f>
        <v>258505</v>
      </c>
      <c r="L20" s="59" t="n">
        <f aca="false">_xlfn.XLOOKUP(L$15,$B$1:$D$1,$B6:$D6)*(L$23-L$24)+217730</f>
        <v>301590</v>
      </c>
      <c r="M20" s="61" t="n">
        <f aca="false">_xlfn.XLOOKUP(M$15,$B$1:$D$1,$B6:$D6)*(M$23-M$24)+217729</f>
        <v>301589</v>
      </c>
      <c r="N20" s="62" t="n">
        <f aca="false">SUM(B20:M20)</f>
        <v>2338682</v>
      </c>
      <c r="O20" s="62" t="n">
        <f aca="false">N20/N34</f>
        <v>843.010437877637</v>
      </c>
    </row>
    <row r="21" customFormat="false" ht="15.75" hidden="false" customHeight="true" outlineLevel="0" collapsed="false">
      <c r="A21" s="63" t="str">
        <f aca="false">A$7</f>
        <v>Open Day/Tryouts</v>
      </c>
      <c r="B21" s="57" t="n">
        <v>190000</v>
      </c>
      <c r="C21" s="58" t="n">
        <v>88500</v>
      </c>
      <c r="D21" s="64" t="n">
        <f aca="false">_xlfn.XLOOKUP(D$15,$B$1:$D$1,$B7:$D7)*(D$23-D$24)</f>
        <v>139766.666666667</v>
      </c>
      <c r="E21" s="64" t="n">
        <f aca="false">_xlfn.XLOOKUP(E$15,$B$1:$D$1,$B7:$D7)*(E$23-E$24)</f>
        <v>139766.666666667</v>
      </c>
      <c r="F21" s="64" t="n">
        <f aca="false">_xlfn.XLOOKUP(F$15,$B$1:$D$1,$B7:$D7)*(F$23-F$24)</f>
        <v>125790</v>
      </c>
      <c r="G21" s="65" t="n">
        <f aca="false">_xlfn.XLOOKUP(G$15,$B$1:$D$1,$B7:$D7)*(G$23-G$24)</f>
        <v>125790</v>
      </c>
      <c r="H21" s="64" t="n">
        <f aca="false">_xlfn.XLOOKUP(H$15,$B$1:$D$1,$B7:$D7)*(H$23-H$24)</f>
        <v>139766.666666667</v>
      </c>
      <c r="I21" s="64" t="n">
        <f aca="false">_xlfn.XLOOKUP(I$15,$B$1:$D$1,$B7:$D7)*(I$23-I$24)</f>
        <v>125790</v>
      </c>
      <c r="J21" s="64" t="n">
        <f aca="false">_xlfn.XLOOKUP(J$15,$B$1:$D$1,$B7:$D7)*(J$23-J$24)</f>
        <v>125790</v>
      </c>
      <c r="K21" s="65" t="n">
        <f aca="false">_xlfn.XLOOKUP(K$15,$B$1:$D$1,$B7:$D7)*(K$23-K$24)</f>
        <v>167720</v>
      </c>
      <c r="L21" s="64" t="n">
        <f aca="false">_xlfn.XLOOKUP(L$15,$B$1:$D$1,$B7:$D7)*(L$23-L$24)</f>
        <v>167720</v>
      </c>
      <c r="M21" s="66" t="n">
        <f aca="false">_xlfn.XLOOKUP(M$15,$B$1:$D$1,$B7:$D7)*(M$23-M$24)</f>
        <v>167720</v>
      </c>
      <c r="N21" s="67" t="n">
        <f aca="false">SUM(B21:M21)</f>
        <v>1704120</v>
      </c>
      <c r="O21" s="67" t="n">
        <f aca="false">N21/N35</f>
        <v>736.219948595178</v>
      </c>
    </row>
    <row r="22" customFormat="false" ht="15.75" hidden="false" customHeight="true" outlineLevel="0" collapsed="false">
      <c r="A22" s="68" t="str">
        <f aca="false">A$8</f>
        <v>Interacciones</v>
      </c>
      <c r="B22" s="57" t="n">
        <v>20000</v>
      </c>
      <c r="C22" s="58" t="n">
        <v>35400</v>
      </c>
      <c r="D22" s="69" t="n">
        <f aca="false">_xlfn.XLOOKUP(D$15,$B$1:$D$1,$B8:$D8)*(D$23-D$24)</f>
        <v>0</v>
      </c>
      <c r="E22" s="69" t="n">
        <f aca="false">_xlfn.XLOOKUP(E$15,$B$1:$D$1,$B8:$D8)*(E$23-E$24)</f>
        <v>0</v>
      </c>
      <c r="F22" s="69" t="n">
        <f aca="false">_xlfn.XLOOKUP(F$15,$B$1:$D$1,$B8:$D8)*(F$23-F$24)</f>
        <v>0</v>
      </c>
      <c r="G22" s="70" t="n">
        <f aca="false">_xlfn.XLOOKUP(G$15,$B$1:$D$1,$B8:$D8)*(G$23-G$24)</f>
        <v>0</v>
      </c>
      <c r="H22" s="69" t="n">
        <f aca="false">_xlfn.XLOOKUP(H$15,$B$1:$D$1,$B8:$D8)*(H$23-H$24)</f>
        <v>0</v>
      </c>
      <c r="I22" s="69" t="n">
        <f aca="false">_xlfn.XLOOKUP(I$15,$B$1:$D$1,$B8:$D8)*(I$23-I$24)</f>
        <v>0</v>
      </c>
      <c r="J22" s="69" t="n">
        <f aca="false">_xlfn.XLOOKUP(J$15,$B$1:$D$1,$B8:$D8)*(J$23-J$24)</f>
        <v>0</v>
      </c>
      <c r="K22" s="70" t="n">
        <f aca="false">_xlfn.XLOOKUP(K$15,$B$1:$D$1,$B8:$D8)*(K$23-K$24)</f>
        <v>0</v>
      </c>
      <c r="L22" s="69" t="n">
        <f aca="false">_xlfn.XLOOKUP(L$15,$B$1:$D$1,$B8:$D8)*(L$23-L$24)</f>
        <v>0</v>
      </c>
      <c r="M22" s="71" t="n">
        <f aca="false">_xlfn.XLOOKUP(M$15,$B$1:$D$1,$B8:$D8)*(M$23-M$24)</f>
        <v>0</v>
      </c>
      <c r="N22" s="69" t="n">
        <f aca="false">SUM(B22:M22)</f>
        <v>55400</v>
      </c>
      <c r="O22" s="69" t="n">
        <f aca="false">N22/N37</f>
        <v>1.48618659994498</v>
      </c>
    </row>
    <row r="23" customFormat="false" ht="15.75" hidden="false" customHeight="true" outlineLevel="0" collapsed="false">
      <c r="A23" s="72" t="str">
        <f aca="false">A13</f>
        <v>Presupuestos</v>
      </c>
      <c r="B23" s="73" t="n">
        <v>1000000</v>
      </c>
      <c r="C23" s="74" t="n">
        <v>1770000</v>
      </c>
      <c r="D23" s="74" t="n">
        <f aca="false">_xlfn.XLOOKUP(D$15,$B$1:$D$1,$B9:$D9)+D24</f>
        <v>1397666.66666667</v>
      </c>
      <c r="E23" s="74" t="n">
        <f aca="false">_xlfn.XLOOKUP(E$15,$B$1:$D$1,$B9:$D9)+E24</f>
        <v>1446261.66666667</v>
      </c>
      <c r="F23" s="74" t="n">
        <f aca="false">_xlfn.XLOOKUP(F$15,$B$1:$D$1,$B9:$D9)+F24</f>
        <v>1094373</v>
      </c>
      <c r="G23" s="73" t="n">
        <f aca="false">_xlfn.XLOOKUP(G$15,$B$1:$D$1,$B9:$D9)+G24</f>
        <v>1092715</v>
      </c>
      <c r="H23" s="74" t="n">
        <f aca="false">_xlfn.XLOOKUP(H$15,$B$1:$D$1,$B9:$D9)+H24</f>
        <v>1029231.66666667</v>
      </c>
      <c r="I23" s="74" t="n">
        <f aca="false">_xlfn.XLOOKUP(I$15,$B$1:$D$1,$B9:$D9)+I24</f>
        <v>921875</v>
      </c>
      <c r="J23" s="74" t="n">
        <f aca="false">_xlfn.XLOOKUP(J$15,$B$1:$D$1,$B9:$D9)+J24</f>
        <v>986331</v>
      </c>
      <c r="K23" s="73" t="n">
        <f aca="false">_xlfn.XLOOKUP(K$15,$B$1:$D$1,$B9:$D9)+K24</f>
        <v>1198000</v>
      </c>
      <c r="L23" s="74" t="n">
        <f aca="false">_xlfn.XLOOKUP(L$15,$B$1:$D$1,$B9:$D9)+L24</f>
        <v>1294809</v>
      </c>
      <c r="M23" s="75" t="n">
        <f aca="false">_xlfn.XLOOKUP(M$15,$B$1:$D$1,$B9:$D9)+M24</f>
        <v>1518737</v>
      </c>
      <c r="N23" s="74" t="n">
        <f aca="false">SUM(B23:M23)</f>
        <v>14750000</v>
      </c>
      <c r="O23" s="74" t="n">
        <f aca="false">N23/SUM(N30:N35)</f>
        <v>887.523447420648</v>
      </c>
    </row>
    <row r="24" customFormat="false" ht="15.75" hidden="false" customHeight="true" outlineLevel="0" collapsed="false">
      <c r="A24" s="72" t="s">
        <v>129</v>
      </c>
      <c r="B24" s="76" t="n">
        <v>-770000</v>
      </c>
      <c r="C24" s="77"/>
      <c r="D24" s="78"/>
      <c r="E24" s="79" t="n">
        <v>48595</v>
      </c>
      <c r="F24" s="79" t="n">
        <v>46123</v>
      </c>
      <c r="G24" s="80" t="n">
        <v>44465</v>
      </c>
      <c r="H24" s="79" t="n">
        <v>-368435</v>
      </c>
      <c r="I24" s="79" t="n">
        <v>-126375</v>
      </c>
      <c r="J24" s="79" t="n">
        <v>-61919</v>
      </c>
      <c r="K24" s="81"/>
      <c r="L24" s="82" t="n">
        <v>96809</v>
      </c>
      <c r="M24" s="83" t="n">
        <v>320737</v>
      </c>
      <c r="N24" s="74"/>
      <c r="O24" s="27"/>
    </row>
    <row r="25" customFormat="false" ht="15.75" hidden="false" customHeight="true" outlineLevel="0" collapsed="false">
      <c r="A25" s="56" t="s">
        <v>130</v>
      </c>
      <c r="B25" s="32" t="n">
        <f aca="false">B21</f>
        <v>190000</v>
      </c>
      <c r="C25" s="32" t="n">
        <f aca="false">C21</f>
        <v>88500</v>
      </c>
      <c r="D25" s="32" t="n">
        <f aca="false">D21*60%</f>
        <v>83860</v>
      </c>
      <c r="E25" s="32" t="n">
        <f aca="false">E21*60%</f>
        <v>83860</v>
      </c>
      <c r="F25" s="32" t="n">
        <f aca="false">F21*60%</f>
        <v>75474</v>
      </c>
      <c r="G25" s="32" t="n">
        <f aca="false">G21*60%</f>
        <v>75474</v>
      </c>
      <c r="H25" s="32" t="n">
        <f aca="false">H21*60%</f>
        <v>83860</v>
      </c>
      <c r="I25" s="32" t="n">
        <f aca="false">I21*60%</f>
        <v>75474</v>
      </c>
      <c r="J25" s="32" t="n">
        <f aca="false">J21*60%</f>
        <v>75474</v>
      </c>
      <c r="K25" s="32" t="n">
        <f aca="false">K21*60%</f>
        <v>100632</v>
      </c>
      <c r="L25" s="32" t="n">
        <f aca="false">L21*60%</f>
        <v>100632</v>
      </c>
      <c r="M25" s="32" t="n">
        <f aca="false">M21*60%</f>
        <v>100632</v>
      </c>
      <c r="N25" s="27"/>
      <c r="O25" s="27"/>
    </row>
    <row r="26" customFormat="false" ht="15.75" hidden="false" customHeight="true" outlineLevel="0" collapsed="false">
      <c r="A26" s="56" t="s">
        <v>131</v>
      </c>
      <c r="B26" s="27"/>
      <c r="C26" s="27"/>
      <c r="D26" s="32" t="n">
        <f aca="false">D21-D25</f>
        <v>55906.6666666667</v>
      </c>
      <c r="E26" s="32" t="n">
        <f aca="false">E21-E25</f>
        <v>55906.6666666667</v>
      </c>
      <c r="F26" s="32" t="n">
        <f aca="false">F21-F25</f>
        <v>50316</v>
      </c>
      <c r="G26" s="32" t="n">
        <f aca="false">G21-G25</f>
        <v>50316</v>
      </c>
      <c r="H26" s="32" t="n">
        <f aca="false">H21-H25</f>
        <v>55906.6666666667</v>
      </c>
      <c r="I26" s="32" t="n">
        <f aca="false">I21-I25</f>
        <v>50316</v>
      </c>
      <c r="J26" s="32" t="n">
        <f aca="false">J21-J25</f>
        <v>50316</v>
      </c>
      <c r="K26" s="32" t="n">
        <f aca="false">K21-K25</f>
        <v>67088</v>
      </c>
      <c r="L26" s="32" t="n">
        <f aca="false">L21-L25</f>
        <v>67088</v>
      </c>
      <c r="M26" s="32" t="n">
        <f aca="false">M21-M25</f>
        <v>67088</v>
      </c>
      <c r="N26" s="27"/>
      <c r="O26" s="27"/>
    </row>
    <row r="27" customFormat="false" ht="15.75" hidden="false" customHeight="true" outlineLevel="0" collapsed="false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27"/>
    </row>
    <row r="28" customFormat="false" ht="15.75" hidden="false" customHeight="true" outlineLevel="0" collapsed="false">
      <c r="A28" s="85" t="s">
        <v>132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6" t="s">
        <v>126</v>
      </c>
      <c r="O28" s="27"/>
    </row>
    <row r="29" customFormat="false" ht="15.75" hidden="false" customHeight="true" outlineLevel="0" collapsed="false">
      <c r="A29" s="87" t="s">
        <v>133</v>
      </c>
      <c r="B29" s="50" t="n">
        <f aca="false">B$14</f>
        <v>46235</v>
      </c>
      <c r="C29" s="51" t="n">
        <f aca="false">C$14</f>
        <v>46266</v>
      </c>
      <c r="D29" s="51" t="n">
        <f aca="false">D$14</f>
        <v>46296</v>
      </c>
      <c r="E29" s="51" t="n">
        <f aca="false">E$14</f>
        <v>46327</v>
      </c>
      <c r="F29" s="51" t="n">
        <f aca="false">F$14</f>
        <v>46357</v>
      </c>
      <c r="G29" s="50" t="n">
        <f aca="false">G$14</f>
        <v>46388</v>
      </c>
      <c r="H29" s="51" t="n">
        <f aca="false">H$14</f>
        <v>46419</v>
      </c>
      <c r="I29" s="51" t="n">
        <f aca="false">I$14</f>
        <v>46447</v>
      </c>
      <c r="J29" s="52" t="n">
        <f aca="false">J$14</f>
        <v>46478</v>
      </c>
      <c r="K29" s="51" t="n">
        <f aca="false">K$14</f>
        <v>46508</v>
      </c>
      <c r="L29" s="51" t="n">
        <f aca="false">L$14</f>
        <v>46539</v>
      </c>
      <c r="M29" s="52" t="n">
        <f aca="false">M$14</f>
        <v>46569</v>
      </c>
      <c r="N29" s="86"/>
      <c r="O29" s="27"/>
    </row>
    <row r="30" customFormat="false" ht="15.75" hidden="false" customHeight="true" outlineLevel="0" collapsed="false">
      <c r="A30" s="56" t="str">
        <f aca="false">A$2</f>
        <v>Google SEM</v>
      </c>
      <c r="B30" s="88" t="n">
        <f aca="false">IF(B93,B16/B93,"")</f>
        <v>63.2711167352104</v>
      </c>
      <c r="C30" s="89" t="n">
        <f aca="false">IF(C93,C16/C93,"")</f>
        <v>77.63441646259</v>
      </c>
      <c r="D30" s="89" t="n">
        <f aca="false">IF(D93,D16/D93,"")</f>
        <v>64.2151373099154</v>
      </c>
      <c r="E30" s="89" t="n">
        <f aca="false">IF(E93,E16/E93,"")</f>
        <v>55.2836355046883</v>
      </c>
      <c r="F30" s="89" t="n">
        <f aca="false">IF(F93,F16/F93,"")</f>
        <v>44.69301324009</v>
      </c>
      <c r="G30" s="88" t="n">
        <f aca="false">IF(G93,G16/G93,"")</f>
        <v>35.6329938548396</v>
      </c>
      <c r="H30" s="90" t="n">
        <f aca="false">IF(H93,H16/H93,"")</f>
        <v>17.7734325572322</v>
      </c>
      <c r="I30" s="90" t="n">
        <f aca="false">IF(I93,I16/I93,"")</f>
        <v>12.2701708467265</v>
      </c>
      <c r="J30" s="91" t="n">
        <f aca="false">IF(J93,J16/J93,"")</f>
        <v>17.454242238951</v>
      </c>
      <c r="K30" s="90" t="n">
        <f aca="false">IF(K93,K16/K93,"")</f>
        <v>15.7620103097757</v>
      </c>
      <c r="L30" s="90" t="n">
        <f aca="false">IF(L93,L16/L93,"")</f>
        <v>18.3394148683647</v>
      </c>
      <c r="M30" s="91" t="n">
        <f aca="false">IF(M93,M16/M93,"")</f>
        <v>15.9574071317977</v>
      </c>
      <c r="N30" s="92" t="n">
        <f aca="false">SUM(B30:M30)</f>
        <v>438.286991060181</v>
      </c>
      <c r="O30" s="27"/>
    </row>
    <row r="31" customFormat="false" ht="15.75" hidden="false" customHeight="true" outlineLevel="0" collapsed="false">
      <c r="A31" s="56" t="str">
        <f aca="false">A$3</f>
        <v>Google PMax</v>
      </c>
      <c r="B31" s="88" t="n">
        <f aca="false">IF(B94,B17/B94,"")</f>
        <v>59.5347951110026</v>
      </c>
      <c r="C31" s="89" t="n">
        <f aca="false">IF(C94,C17/C94,"")</f>
        <v>91.0496168971628</v>
      </c>
      <c r="D31" s="89" t="n">
        <f aca="false">IF(D94,D17/D94,"")</f>
        <v>84.9566630854384</v>
      </c>
      <c r="E31" s="89" t="n">
        <f aca="false">IF(E94,E17/E94,"")</f>
        <v>78.2459546375878</v>
      </c>
      <c r="F31" s="89" t="n">
        <f aca="false">IF(F94,F17/F94,"")</f>
        <v>53.6174858767583</v>
      </c>
      <c r="G31" s="88" t="n">
        <f aca="false">IF(G94,G17/G94,"")</f>
        <v>29.0672578029937</v>
      </c>
      <c r="H31" s="90" t="n">
        <f aca="false">IF(H94,H17/H94,"")</f>
        <v>35.5632543148347</v>
      </c>
      <c r="I31" s="90" t="n">
        <f aca="false">IF(I94,I17/I94,"")</f>
        <v>37.7031102252271</v>
      </c>
      <c r="J31" s="91" t="n">
        <f aca="false">IF(J94,J17/J94,"")</f>
        <v>35.1717957261025</v>
      </c>
      <c r="K31" s="90" t="n">
        <f aca="false">IF(K94,K17/K94,"")</f>
        <v>28.9989426224909</v>
      </c>
      <c r="L31" s="90" t="n">
        <f aca="false">IF(L94,L17/L94,"")</f>
        <v>32.1479154751335</v>
      </c>
      <c r="M31" s="91" t="n">
        <f aca="false">IF(M94,M17/M94,"")</f>
        <v>31.9808904836029</v>
      </c>
      <c r="N31" s="92" t="n">
        <f aca="false">SUM(B31:M31)</f>
        <v>598.037682258335</v>
      </c>
      <c r="O31" s="27"/>
    </row>
    <row r="32" customFormat="false" ht="15.75" hidden="false" customHeight="true" outlineLevel="0" collapsed="false">
      <c r="A32" s="56" t="str">
        <f aca="false">A$4</f>
        <v>Meta: FB/IG Forms</v>
      </c>
      <c r="B32" s="88" t="n">
        <f aca="false">IF(B95,B18/B95,"")</f>
        <v>462.01570853409</v>
      </c>
      <c r="C32" s="89" t="n">
        <f aca="false">IF(C95,C18/C95,"")</f>
        <v>1107.71500254243</v>
      </c>
      <c r="D32" s="89" t="n">
        <f aca="false">IF(D95,D18/D95,"")</f>
        <v>1294.18489073937</v>
      </c>
      <c r="E32" s="89" t="n">
        <f aca="false">IF(E95,E18/E95,"")</f>
        <v>1267.33200304136</v>
      </c>
      <c r="F32" s="89" t="n">
        <f aca="false">IF(F95,F18/F95,"")</f>
        <v>896.393856579895</v>
      </c>
      <c r="G32" s="88" t="n">
        <f aca="false">IF(G95,G18/G95,"")</f>
        <v>877.035178142115</v>
      </c>
      <c r="H32" s="90" t="n">
        <f aca="false">IF(H95,H18/H95,"")</f>
        <v>567.277425357439</v>
      </c>
      <c r="I32" s="90" t="n">
        <f aca="false">IF(I95,I18/I95,"")</f>
        <v>425.663000620241</v>
      </c>
      <c r="J32" s="91" t="n">
        <f aca="false">IF(J95,J18/J95,"")</f>
        <v>463.37879302837</v>
      </c>
      <c r="K32" s="90" t="n">
        <f aca="false">IF(K95,K18/K95,"")</f>
        <v>595.515943173032</v>
      </c>
      <c r="L32" s="90" t="n">
        <f aca="false">IF(L95,L18/L95,"")</f>
        <v>604.863918648558</v>
      </c>
      <c r="M32" s="91" t="n">
        <f aca="false">IF(M95,M18/M95,"")</f>
        <v>1004.70690858948</v>
      </c>
      <c r="N32" s="92" t="n">
        <f aca="false">SUM(B32:M32)</f>
        <v>9566.08262899638</v>
      </c>
      <c r="O32" s="27"/>
    </row>
    <row r="33" customFormat="false" ht="15.75" hidden="false" customHeight="true" outlineLevel="0" collapsed="false">
      <c r="A33" s="56" t="str">
        <f aca="false">A$5</f>
        <v>Meta: Website Leads</v>
      </c>
      <c r="B33" s="88" t="n">
        <f aca="false">IF(B96,B19/B96,"")</f>
        <v>27.3095390417443</v>
      </c>
      <c r="C33" s="89" t="n">
        <f aca="false">IF(C96,C19/C96,"")</f>
        <v>36.274747767794</v>
      </c>
      <c r="D33" s="89" t="n">
        <f aca="false">IF(D96,D19/D96,"")</f>
        <v>62.6090965523241</v>
      </c>
      <c r="E33" s="89" t="n">
        <f aca="false">IF(E96,E19/E96,"")</f>
        <v>105.088357252788</v>
      </c>
      <c r="F33" s="89" t="n">
        <f aca="false">IF(F96,F19/F96,"")</f>
        <v>69.9747713576845</v>
      </c>
      <c r="G33" s="88" t="n">
        <f aca="false">IF(G96,G19/G96,"")</f>
        <v>66.1389119534542</v>
      </c>
      <c r="H33" s="90" t="n">
        <f aca="false">IF(H96,H19/H96,"")</f>
        <v>86.5208210642813</v>
      </c>
      <c r="I33" s="90" t="n">
        <f aca="false">IF(I96,I19/I96,"")</f>
        <v>126.120354947575</v>
      </c>
      <c r="J33" s="91" t="n">
        <f aca="false">IF(J96,J19/J96,"")</f>
        <v>116.175126240642</v>
      </c>
      <c r="K33" s="90" t="n">
        <f aca="false">IF(K96,K19/K96,"")</f>
        <v>65.7392105037921</v>
      </c>
      <c r="L33" s="90" t="n">
        <f aca="false">IF(L96,L19/L96,"")</f>
        <v>86.9576389023731</v>
      </c>
      <c r="M33" s="91" t="n">
        <f aca="false">IF(M96,M19/M96,"")</f>
        <v>79.0717527349935</v>
      </c>
      <c r="N33" s="92" t="n">
        <f aca="false">SUM(B33:M33)</f>
        <v>927.980328319446</v>
      </c>
      <c r="O33" s="27"/>
    </row>
    <row r="34" customFormat="false" ht="15.75" hidden="false" customHeight="true" outlineLevel="0" collapsed="false">
      <c r="A34" s="56" t="str">
        <f aca="false">A$6</f>
        <v>Meta: Whatsapp</v>
      </c>
      <c r="B34" s="88" t="n">
        <f aca="false">IF(B97,B20/B97,"")*10%</f>
        <v>159.021406727829</v>
      </c>
      <c r="C34" s="89" t="n">
        <f aca="false">IF(C97,C20/C97,"")*10%</f>
        <v>156.706507304117</v>
      </c>
      <c r="D34" s="89" t="n">
        <f aca="false">IF(D97,D20/D97,"")*10%</f>
        <v>77.6524621738245</v>
      </c>
      <c r="E34" s="89" t="n">
        <f aca="false">IF(E97,E20/E97,"")*10%</f>
        <v>63.7380934930461</v>
      </c>
      <c r="F34" s="89" t="n">
        <f aca="false">IF(F97,F20/F97,"")*10%</f>
        <v>117.852367298493</v>
      </c>
      <c r="G34" s="88" t="n">
        <f aca="false">IF(G97,G20/G97,"")*10%</f>
        <v>177.590533434716</v>
      </c>
      <c r="H34" s="90" t="n">
        <f aca="false">IF(H97,H20/H97,"")*10%</f>
        <v>288.602278194599</v>
      </c>
      <c r="I34" s="90" t="n">
        <f aca="false">IF(I97,I20/I97,"")*10%</f>
        <v>373.874245218209</v>
      </c>
      <c r="J34" s="91" t="n">
        <f aca="false">IF(J97,J20/J97,"")*10%</f>
        <v>395.414945083722</v>
      </c>
      <c r="K34" s="90" t="n">
        <f aca="false">IF(K97,K20/K97,"")*10%</f>
        <v>254.825020908062</v>
      </c>
      <c r="L34" s="90" t="n">
        <f aca="false">IF(L97,L20/L97,"")*10%</f>
        <v>356.694271177059</v>
      </c>
      <c r="M34" s="91" t="n">
        <f aca="false">IF(M97,M20/M97,"")*10%</f>
        <v>352.230767218359</v>
      </c>
      <c r="N34" s="92" t="n">
        <f aca="false">SUM(B34:M34)</f>
        <v>2774.20289823204</v>
      </c>
      <c r="O34" s="27"/>
    </row>
    <row r="35" customFormat="false" ht="15.75" hidden="false" customHeight="true" outlineLevel="0" collapsed="false">
      <c r="A35" s="63" t="str">
        <f aca="false">A$7</f>
        <v>Open Day/Tryouts</v>
      </c>
      <c r="B35" s="93" t="n">
        <f aca="false">IF(B98,B25/B98,"")</f>
        <v>312.947803600547</v>
      </c>
      <c r="C35" s="94" t="n">
        <f aca="false">IF(C98,C25/C98,"")</f>
        <v>190.07527840122</v>
      </c>
      <c r="D35" s="94" t="n">
        <f aca="false">IF(D98,D25/D98,"")</f>
        <v>157.217847769029</v>
      </c>
      <c r="E35" s="94" t="n">
        <f aca="false">IF(E98,E25/E98,"")</f>
        <v>149.269538672398</v>
      </c>
      <c r="F35" s="94" t="n">
        <f aca="false">IF(F98,F25/F98,"")</f>
        <v>127.877601850205</v>
      </c>
      <c r="G35" s="93" t="n">
        <f aca="false">IF(G98,G25/G98,"")</f>
        <v>184.645871559633</v>
      </c>
      <c r="H35" s="94" t="n">
        <f aca="false">IF(H98,H25/H98,"")</f>
        <v>196.249817171274</v>
      </c>
      <c r="I35" s="94" t="n">
        <f aca="false">IF(I98,I25/I98,"")</f>
        <v>171.142857142857</v>
      </c>
      <c r="J35" s="95" t="n">
        <f aca="false">IF(J98,J25/J98,"")</f>
        <v>128.353868523762</v>
      </c>
      <c r="K35" s="94" t="n">
        <f aca="false">IF(K98,K25/K98,"")</f>
        <v>253.162264150943</v>
      </c>
      <c r="L35" s="94" t="n">
        <f aca="false">IF(L98,L25/L98,"")</f>
        <v>248.805815160955</v>
      </c>
      <c r="M35" s="95" t="n">
        <f aca="false">IF(M98,M25/M98,"")</f>
        <v>194.940141800008</v>
      </c>
      <c r="N35" s="93" t="n">
        <f aca="false">SUM(B35:M35)</f>
        <v>2314.68870580283</v>
      </c>
      <c r="O35" s="27"/>
    </row>
    <row r="36" customFormat="false" ht="15.75" hidden="false" customHeight="true" outlineLevel="0" collapsed="false">
      <c r="A36" s="96" t="str">
        <f aca="false">A28</f>
        <v>Proyección Leads</v>
      </c>
      <c r="B36" s="97" t="n">
        <f aca="false">SUM(B30:B35)</f>
        <v>1084.10036975042</v>
      </c>
      <c r="C36" s="98" t="n">
        <f aca="false">SUM(C30:C35)</f>
        <v>1659.45556937531</v>
      </c>
      <c r="D36" s="98" t="n">
        <f aca="false">SUM(D30:D35)</f>
        <v>1740.8360976299</v>
      </c>
      <c r="E36" s="98" t="n">
        <f aca="false">SUM(E30:E35)</f>
        <v>1718.95758260187</v>
      </c>
      <c r="F36" s="98" t="n">
        <f aca="false">SUM(F30:F35)</f>
        <v>1310.40909620313</v>
      </c>
      <c r="G36" s="97" t="n">
        <f aca="false">SUM(G30:G35)</f>
        <v>1370.11074674775</v>
      </c>
      <c r="H36" s="98" t="n">
        <f aca="false">SUM(H30:H35)</f>
        <v>1191.98702865966</v>
      </c>
      <c r="I36" s="98" t="n">
        <f aca="false">SUM(I30:I35)</f>
        <v>1146.77373900084</v>
      </c>
      <c r="J36" s="99" t="n">
        <f aca="false">SUM(J30:J35)</f>
        <v>1155.94877084155</v>
      </c>
      <c r="K36" s="98" t="n">
        <f aca="false">SUM(K30:K35)</f>
        <v>1214.0033916681</v>
      </c>
      <c r="L36" s="98" t="n">
        <f aca="false">SUM(L30:L35)</f>
        <v>1347.80897423244</v>
      </c>
      <c r="M36" s="99" t="n">
        <f aca="false">SUM(M30:M35)</f>
        <v>1678.88786795824</v>
      </c>
      <c r="N36" s="97" t="n">
        <f aca="false">SUM(B36:M36)</f>
        <v>16619.2792346692</v>
      </c>
      <c r="O36" s="100" t="n">
        <v>16769</v>
      </c>
      <c r="P36" s="101" t="n">
        <f aca="false">O36-N36</f>
        <v>149.720765330789</v>
      </c>
    </row>
    <row r="37" customFormat="false" ht="15.75" hidden="false" customHeight="true" outlineLevel="0" collapsed="false">
      <c r="A37" s="68" t="str">
        <f aca="false">A$8</f>
        <v>Interacciones</v>
      </c>
      <c r="B37" s="102" t="n">
        <f aca="false">IF(B99,B22/B99,"")</f>
        <v>12314.5126531618</v>
      </c>
      <c r="C37" s="103" t="n">
        <f aca="false">IF(C99,C22/C99,"")</f>
        <v>24962.0985086204</v>
      </c>
      <c r="D37" s="103" t="n">
        <f aca="false">IF(D99,D22/D99,"")</f>
        <v>0</v>
      </c>
      <c r="E37" s="103" t="n">
        <f aca="false">IF(E99,E22/E99,"")</f>
        <v>0</v>
      </c>
      <c r="F37" s="103" t="n">
        <f aca="false">IF(F99,F22/F99,"")</f>
        <v>0</v>
      </c>
      <c r="G37" s="102" t="n">
        <f aca="false">IF(G99,G22/G99,"")</f>
        <v>0</v>
      </c>
      <c r="H37" s="103" t="n">
        <f aca="false">IF(H99,H22/H99,"")</f>
        <v>0</v>
      </c>
      <c r="I37" s="103" t="n">
        <f aca="false">IF(I99,I22/I99,"")</f>
        <v>0</v>
      </c>
      <c r="J37" s="104" t="n">
        <f aca="false">IF(J99,J22/J99,"")</f>
        <v>0</v>
      </c>
      <c r="K37" s="103" t="n">
        <f aca="false">IF(K99,K22/K99,"")</f>
        <v>0</v>
      </c>
      <c r="L37" s="103" t="n">
        <f aca="false">IF(L99,L22/L99,"")</f>
        <v>0</v>
      </c>
      <c r="M37" s="104" t="n">
        <f aca="false">IF(M99,M22/M99,"")</f>
        <v>0</v>
      </c>
      <c r="N37" s="102" t="n">
        <f aca="false">SUM(B37:M37)</f>
        <v>37276.6111617821</v>
      </c>
      <c r="O37" s="105" t="s">
        <v>134</v>
      </c>
    </row>
    <row r="38" customFormat="false" ht="15.75" hidden="false" customHeight="true" outlineLevel="0" collapsed="false">
      <c r="A38" s="106" t="n">
        <v>0.59</v>
      </c>
      <c r="B38" s="100" t="n">
        <f aca="false">B36*$A38</f>
        <v>639.61921815275</v>
      </c>
      <c r="C38" s="100" t="n">
        <f aca="false">C36*$A38</f>
        <v>979.078785931432</v>
      </c>
      <c r="D38" s="100" t="n">
        <f aca="false">D36*$A38</f>
        <v>1027.09329760164</v>
      </c>
      <c r="E38" s="100" t="n">
        <f aca="false">E36*$A38</f>
        <v>1014.1849737351</v>
      </c>
      <c r="F38" s="100" t="n">
        <f aca="false">F36*$A38</f>
        <v>773.141366759844</v>
      </c>
      <c r="G38" s="107" t="n">
        <f aca="false">G36*$A38</f>
        <v>808.365340581174</v>
      </c>
      <c r="H38" s="100" t="n">
        <f aca="false">H36*$A38</f>
        <v>703.2723469092</v>
      </c>
      <c r="I38" s="100" t="n">
        <f aca="false">I36*$A38</f>
        <v>676.596506010493</v>
      </c>
      <c r="J38" s="108" t="n">
        <f aca="false">J36*$A38</f>
        <v>682.009774796515</v>
      </c>
      <c r="K38" s="100" t="n">
        <f aca="false">K36*$A38</f>
        <v>716.262001084177</v>
      </c>
      <c r="L38" s="100" t="n">
        <f aca="false">L36*$A38</f>
        <v>795.207294797142</v>
      </c>
      <c r="M38" s="100" t="n">
        <f aca="false">M36*$A38</f>
        <v>990.543842095363</v>
      </c>
      <c r="N38" s="97" t="n">
        <f aca="false">SUM(B38:M38)</f>
        <v>9805.37474845483</v>
      </c>
      <c r="O38" s="109" t="s">
        <v>135</v>
      </c>
      <c r="P38" s="15" t="n">
        <f aca="false">SUM(B55:C55)</f>
        <v>2006</v>
      </c>
    </row>
    <row r="39" customFormat="false" ht="15.75" hidden="false" customHeight="true" outlineLevel="0" collapsed="false">
      <c r="A39" s="106" t="n">
        <v>0.4</v>
      </c>
      <c r="B39" s="100" t="n">
        <f aca="false">B38*$A39</f>
        <v>255.8476872611</v>
      </c>
      <c r="C39" s="100" t="n">
        <f aca="false">C38*$A39</f>
        <v>391.631514372573</v>
      </c>
      <c r="D39" s="100" t="n">
        <f aca="false">D38*$A39</f>
        <v>410.837319040657</v>
      </c>
      <c r="E39" s="100" t="n">
        <f aca="false">E38*$A39</f>
        <v>405.673989494041</v>
      </c>
      <c r="F39" s="100" t="n">
        <f aca="false">F38*$A39</f>
        <v>309.256546703938</v>
      </c>
      <c r="G39" s="107" t="n">
        <f aca="false">G38*$A39</f>
        <v>323.346136232469</v>
      </c>
      <c r="H39" s="100" t="n">
        <f aca="false">H38*$A39</f>
        <v>281.30893876368</v>
      </c>
      <c r="I39" s="100" t="n">
        <f aca="false">I38*$A39</f>
        <v>270.638602404197</v>
      </c>
      <c r="J39" s="108" t="n">
        <f aca="false">J38*$A39</f>
        <v>272.803909918606</v>
      </c>
      <c r="K39" s="100" t="n">
        <f aca="false">K38*$A39</f>
        <v>286.504800433671</v>
      </c>
      <c r="L39" s="100" t="n">
        <f aca="false">L38*$A39</f>
        <v>318.082917918857</v>
      </c>
      <c r="M39" s="100" t="n">
        <f aca="false">M38*$A39</f>
        <v>396.217536838145</v>
      </c>
      <c r="N39" s="97" t="n">
        <f aca="false">SUM(B39:M39)</f>
        <v>3922.14989938193</v>
      </c>
      <c r="O39" s="109" t="s">
        <v>136</v>
      </c>
      <c r="P39" s="15" t="n">
        <f aca="false">SUM(D36:M36)</f>
        <v>13875.7232955435</v>
      </c>
    </row>
    <row r="40" customFormat="false" ht="15.75" hidden="false" customHeight="true" outlineLevel="0" collapsed="false">
      <c r="A40" s="106" t="n">
        <v>0.85</v>
      </c>
      <c r="B40" s="100" t="n">
        <f aca="false">B39*$A40</f>
        <v>217.470534171935</v>
      </c>
      <c r="C40" s="100" t="n">
        <f aca="false">C39*$A40</f>
        <v>332.886787216687</v>
      </c>
      <c r="D40" s="100" t="n">
        <f aca="false">D39*$A40</f>
        <v>349.211721184559</v>
      </c>
      <c r="E40" s="100" t="n">
        <f aca="false">E39*$A40</f>
        <v>344.822891069935</v>
      </c>
      <c r="F40" s="100" t="n">
        <f aca="false">F39*$A40</f>
        <v>262.868064698347</v>
      </c>
      <c r="G40" s="107" t="n">
        <f aca="false">G39*$A40</f>
        <v>274.844215797599</v>
      </c>
      <c r="H40" s="100" t="n">
        <f aca="false">H39*$A40</f>
        <v>239.112597949128</v>
      </c>
      <c r="I40" s="100" t="n">
        <f aca="false">I39*$A40</f>
        <v>230.042812043568</v>
      </c>
      <c r="J40" s="108" t="n">
        <f aca="false">J39*$A40</f>
        <v>231.883323430815</v>
      </c>
      <c r="K40" s="100" t="n">
        <f aca="false">K39*$A40</f>
        <v>243.52908036862</v>
      </c>
      <c r="L40" s="100" t="n">
        <f aca="false">L39*$A40</f>
        <v>270.370480231028</v>
      </c>
      <c r="M40" s="100" t="n">
        <f aca="false">M39*$A40</f>
        <v>336.784906312424</v>
      </c>
      <c r="N40" s="97" t="n">
        <f aca="false">SUM(B40:M40)</f>
        <v>3333.82741447464</v>
      </c>
      <c r="O40" s="109" t="s">
        <v>137</v>
      </c>
      <c r="P40" s="15" t="n">
        <f aca="false">SUMPRODUCT(D26:M26/'Eventos Elisia'!D38:M38)</f>
        <v>887.866304054547</v>
      </c>
    </row>
    <row r="41" customFormat="false" ht="15.75" hidden="false" customHeight="true" outlineLevel="0" collapsed="false">
      <c r="A41" s="106" t="n">
        <v>0.6</v>
      </c>
      <c r="B41" s="100" t="n">
        <f aca="false">B40*$A41</f>
        <v>130.482320503161</v>
      </c>
      <c r="C41" s="100" t="n">
        <f aca="false">C40*$A41</f>
        <v>199.732072330012</v>
      </c>
      <c r="D41" s="100" t="n">
        <f aca="false">D40*$A41</f>
        <v>209.527032710735</v>
      </c>
      <c r="E41" s="100" t="n">
        <f aca="false">E40*$A41</f>
        <v>206.893734641961</v>
      </c>
      <c r="F41" s="100" t="n">
        <f aca="false">F40*$A41</f>
        <v>157.720838819008</v>
      </c>
      <c r="G41" s="107" t="n">
        <f aca="false">G40*$A41</f>
        <v>164.906529478559</v>
      </c>
      <c r="H41" s="100" t="n">
        <f aca="false">H40*$A41</f>
        <v>143.467558769477</v>
      </c>
      <c r="I41" s="100" t="n">
        <f aca="false">I40*$A41</f>
        <v>138.025687226141</v>
      </c>
      <c r="J41" s="108" t="n">
        <f aca="false">J40*$A41</f>
        <v>139.129994058489</v>
      </c>
      <c r="K41" s="100" t="n">
        <f aca="false">K40*$A41</f>
        <v>146.117448221172</v>
      </c>
      <c r="L41" s="100" t="n">
        <f aca="false">L40*$A41</f>
        <v>162.222288138617</v>
      </c>
      <c r="M41" s="100" t="n">
        <f aca="false">M40*$A41</f>
        <v>202.070943787454</v>
      </c>
      <c r="N41" s="97" t="n">
        <f aca="false">SUM(B41:M41)</f>
        <v>2000.29644868479</v>
      </c>
      <c r="O41" s="105" t="s">
        <v>138</v>
      </c>
      <c r="P41" s="110" t="n">
        <f aca="false">P38+P39+P40</f>
        <v>16769.589599598</v>
      </c>
    </row>
    <row r="42" customFormat="false" ht="15.75" hidden="false" customHeight="true" outlineLevel="0" collapsed="false">
      <c r="A42" s="106" t="n">
        <v>0.3</v>
      </c>
      <c r="B42" s="100" t="n">
        <f aca="false">B41*$A42</f>
        <v>39.1446961509483</v>
      </c>
      <c r="C42" s="100" t="n">
        <f aca="false">C41*$A42</f>
        <v>59.9196216990036</v>
      </c>
      <c r="D42" s="100" t="n">
        <f aca="false">D41*$A42</f>
        <v>62.8581098132205</v>
      </c>
      <c r="E42" s="100" t="n">
        <f aca="false">E41*$A42</f>
        <v>62.0681203925882</v>
      </c>
      <c r="F42" s="100" t="n">
        <f aca="false">F41*$A42</f>
        <v>47.3162516457024</v>
      </c>
      <c r="G42" s="107" t="n">
        <f aca="false">G41*$A42</f>
        <v>49.4719588435678</v>
      </c>
      <c r="H42" s="100" t="n">
        <f aca="false">H41*$A42</f>
        <v>43.040267630843</v>
      </c>
      <c r="I42" s="100" t="n">
        <f aca="false">I41*$A42</f>
        <v>41.4077061678422</v>
      </c>
      <c r="J42" s="108" t="n">
        <f aca="false">J41*$A42</f>
        <v>41.7389982175467</v>
      </c>
      <c r="K42" s="100" t="n">
        <f aca="false">K41*$A42</f>
        <v>43.8352344663516</v>
      </c>
      <c r="L42" s="100" t="n">
        <f aca="false">L41*$A42</f>
        <v>48.6666864415851</v>
      </c>
      <c r="M42" s="100" t="n">
        <f aca="false">M41*$A42</f>
        <v>60.6212831362362</v>
      </c>
      <c r="N42" s="97" t="n">
        <f aca="false">SUM(B42:M42)</f>
        <v>600.088934605436</v>
      </c>
      <c r="O42" s="109" t="s">
        <v>20</v>
      </c>
      <c r="P42" s="15" t="n">
        <v>16769.3708639256</v>
      </c>
    </row>
    <row r="43" customFormat="false" ht="15.75" hidden="false" customHeight="true" outlineLevel="0" collapsed="false">
      <c r="A43" s="106" t="n">
        <v>0.9</v>
      </c>
      <c r="B43" s="100" t="n">
        <f aca="false">B42*$A43</f>
        <v>35.2302265358535</v>
      </c>
      <c r="C43" s="100" t="n">
        <f aca="false">C42*$A43</f>
        <v>53.9276595291033</v>
      </c>
      <c r="D43" s="100" t="n">
        <f aca="false">D42*$A43</f>
        <v>56.5722988318985</v>
      </c>
      <c r="E43" s="100" t="n">
        <f aca="false">E42*$A43</f>
        <v>55.8613083533294</v>
      </c>
      <c r="F43" s="100" t="n">
        <f aca="false">F42*$A43</f>
        <v>42.5846264811322</v>
      </c>
      <c r="G43" s="107" t="n">
        <f aca="false">G42*$A43</f>
        <v>44.524762959211</v>
      </c>
      <c r="H43" s="100" t="n">
        <f aca="false">H42*$A43</f>
        <v>38.7362408677587</v>
      </c>
      <c r="I43" s="100" t="n">
        <f aca="false">I42*$A43</f>
        <v>37.266935551058</v>
      </c>
      <c r="J43" s="108" t="n">
        <f aca="false">J42*$A43</f>
        <v>37.565098395792</v>
      </c>
      <c r="K43" s="100" t="n">
        <f aca="false">K42*$A43</f>
        <v>39.4517110197165</v>
      </c>
      <c r="L43" s="100" t="n">
        <f aca="false">L42*$A43</f>
        <v>43.8000177974266</v>
      </c>
      <c r="M43" s="100" t="n">
        <f aca="false">M42*$A43</f>
        <v>54.5591548226126</v>
      </c>
      <c r="N43" s="97" t="n">
        <f aca="false">SUM(B43:M43)</f>
        <v>540.080041144892</v>
      </c>
      <c r="O43" s="109" t="s">
        <v>139</v>
      </c>
      <c r="P43" s="111" t="n">
        <f aca="false">P41-P42</f>
        <v>0.218735672428011</v>
      </c>
    </row>
    <row r="44" customFormat="false" ht="15.75" hidden="false" customHeight="true" outlineLevel="0" collapsed="false">
      <c r="A44" s="106" t="n">
        <v>0.64</v>
      </c>
      <c r="B44" s="100" t="n">
        <f aca="false">B43*$A44</f>
        <v>22.5473449829462</v>
      </c>
      <c r="C44" s="100" t="n">
        <f aca="false">C43*$A44</f>
        <v>34.5137020986261</v>
      </c>
      <c r="D44" s="100" t="n">
        <f aca="false">D43*$A44</f>
        <v>36.206271252415</v>
      </c>
      <c r="E44" s="100" t="n">
        <f aca="false">E43*$A44</f>
        <v>35.7512373461308</v>
      </c>
      <c r="F44" s="100" t="n">
        <f aca="false">F43*$A44</f>
        <v>27.2541609479246</v>
      </c>
      <c r="G44" s="107" t="n">
        <f aca="false">G43*$A44</f>
        <v>28.4958482938951</v>
      </c>
      <c r="H44" s="100" t="n">
        <f aca="false">H43*$A44</f>
        <v>24.7911941553656</v>
      </c>
      <c r="I44" s="100" t="n">
        <f aca="false">I43*$A44</f>
        <v>23.8508387526771</v>
      </c>
      <c r="J44" s="108" t="n">
        <f aca="false">J43*$A44</f>
        <v>24.0416629733069</v>
      </c>
      <c r="K44" s="100" t="n">
        <f aca="false">K43*$A44</f>
        <v>25.2490950526185</v>
      </c>
      <c r="L44" s="100" t="n">
        <f aca="false">L43*$A44</f>
        <v>28.032011390353</v>
      </c>
      <c r="M44" s="100" t="n">
        <f aca="false">M43*$A44</f>
        <v>34.9178590864721</v>
      </c>
      <c r="N44" s="112" t="n">
        <f aca="false">SUM(B44:M44)</f>
        <v>345.651226332731</v>
      </c>
      <c r="O44" s="109" t="s">
        <v>140</v>
      </c>
      <c r="P44" s="15" t="n">
        <f aca="false">P41*N44/N36</f>
        <v>348.777412567076</v>
      </c>
    </row>
    <row r="45" customFormat="false" ht="15.75" hidden="false" customHeight="true" outlineLevel="0" collapsed="false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113" t="s">
        <v>141</v>
      </c>
    </row>
    <row r="46" customFormat="false" ht="15.75" hidden="false" customHeight="true" outlineLevel="0" collapsed="false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</row>
    <row r="47" customFormat="false" ht="15.75" hidden="false" customHeight="true" outlineLevel="0" collapsed="false">
      <c r="A47" s="85" t="s">
        <v>142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6" t="s">
        <v>126</v>
      </c>
      <c r="O47" s="27"/>
    </row>
    <row r="48" customFormat="false" ht="15.75" hidden="false" customHeight="true" outlineLevel="0" collapsed="false">
      <c r="A48" s="87" t="s">
        <v>133</v>
      </c>
      <c r="B48" s="50" t="n">
        <f aca="false">B$14</f>
        <v>46235</v>
      </c>
      <c r="C48" s="51" t="n">
        <f aca="false">C$14</f>
        <v>46266</v>
      </c>
      <c r="D48" s="51" t="n">
        <f aca="false">D$14</f>
        <v>46296</v>
      </c>
      <c r="E48" s="51" t="n">
        <f aca="false">E$14</f>
        <v>46327</v>
      </c>
      <c r="F48" s="51" t="n">
        <f aca="false">F$14</f>
        <v>46357</v>
      </c>
      <c r="G48" s="50" t="n">
        <f aca="false">G$14</f>
        <v>46388</v>
      </c>
      <c r="H48" s="51" t="n">
        <f aca="false">H$14</f>
        <v>46419</v>
      </c>
      <c r="I48" s="51" t="n">
        <f aca="false">I$14</f>
        <v>46447</v>
      </c>
      <c r="J48" s="52" t="n">
        <f aca="false">J$14</f>
        <v>46478</v>
      </c>
      <c r="K48" s="51" t="n">
        <f aca="false">K$14</f>
        <v>46508</v>
      </c>
      <c r="L48" s="51" t="n">
        <f aca="false">L$14</f>
        <v>46539</v>
      </c>
      <c r="M48" s="52" t="n">
        <f aca="false">M$14</f>
        <v>46569</v>
      </c>
      <c r="N48" s="86"/>
      <c r="O48" s="27"/>
    </row>
    <row r="49" customFormat="false" ht="15.75" hidden="false" customHeight="true" outlineLevel="0" collapsed="false">
      <c r="A49" s="56" t="str">
        <f aca="false">A$2</f>
        <v>Google SEM</v>
      </c>
      <c r="B49" s="88" t="n">
        <v>43</v>
      </c>
      <c r="C49" s="114" t="n">
        <v>68</v>
      </c>
      <c r="D49" s="89"/>
      <c r="E49" s="89"/>
      <c r="F49" s="89"/>
      <c r="G49" s="88"/>
      <c r="H49" s="90"/>
      <c r="I49" s="90"/>
      <c r="J49" s="91"/>
      <c r="K49" s="90"/>
      <c r="L49" s="90"/>
      <c r="M49" s="91"/>
      <c r="N49" s="92" t="n">
        <f aca="false">SUM(B49:M49)</f>
        <v>111</v>
      </c>
      <c r="O49" s="27"/>
    </row>
    <row r="50" customFormat="false" ht="15.75" hidden="false" customHeight="true" outlineLevel="0" collapsed="false">
      <c r="A50" s="56" t="str">
        <f aca="false">A$3</f>
        <v>Google PMax</v>
      </c>
      <c r="B50" s="88" t="n">
        <v>73</v>
      </c>
      <c r="C50" s="114" t="n">
        <v>160</v>
      </c>
      <c r="D50" s="89"/>
      <c r="E50" s="89"/>
      <c r="F50" s="89"/>
      <c r="G50" s="88"/>
      <c r="H50" s="90"/>
      <c r="I50" s="90"/>
      <c r="J50" s="91"/>
      <c r="K50" s="90"/>
      <c r="L50" s="90"/>
      <c r="M50" s="91"/>
      <c r="N50" s="92" t="n">
        <f aca="false">SUM(B50:M50)</f>
        <v>233</v>
      </c>
      <c r="O50" s="27"/>
    </row>
    <row r="51" customFormat="false" ht="15.75" hidden="false" customHeight="true" outlineLevel="0" collapsed="false">
      <c r="A51" s="56" t="str">
        <f aca="false">A$4</f>
        <v>Meta: FB/IG Forms</v>
      </c>
      <c r="B51" s="88" t="n">
        <v>263</v>
      </c>
      <c r="C51" s="114" t="n">
        <v>721</v>
      </c>
      <c r="D51" s="89"/>
      <c r="E51" s="89"/>
      <c r="F51" s="89"/>
      <c r="G51" s="88"/>
      <c r="H51" s="90"/>
      <c r="I51" s="90"/>
      <c r="J51" s="91"/>
      <c r="K51" s="90"/>
      <c r="L51" s="90"/>
      <c r="M51" s="91"/>
      <c r="N51" s="92" t="n">
        <f aca="false">SUM(B51:M51)</f>
        <v>984</v>
      </c>
      <c r="O51" s="27"/>
    </row>
    <row r="52" customFormat="false" ht="15.75" hidden="false" customHeight="true" outlineLevel="0" collapsed="false">
      <c r="A52" s="56" t="str">
        <f aca="false">A$5</f>
        <v>Meta: Website Leads</v>
      </c>
      <c r="B52" s="88" t="n">
        <v>57</v>
      </c>
      <c r="C52" s="114" t="n">
        <v>50</v>
      </c>
      <c r="D52" s="89"/>
      <c r="E52" s="89"/>
      <c r="F52" s="89"/>
      <c r="G52" s="88"/>
      <c r="H52" s="90"/>
      <c r="I52" s="90"/>
      <c r="J52" s="91"/>
      <c r="K52" s="90"/>
      <c r="L52" s="90"/>
      <c r="M52" s="91"/>
      <c r="N52" s="92" t="n">
        <f aca="false">SUM(B52:M52)</f>
        <v>107</v>
      </c>
      <c r="O52" s="27"/>
    </row>
    <row r="53" customFormat="false" ht="15.75" hidden="false" customHeight="true" outlineLevel="0" collapsed="false">
      <c r="A53" s="56" t="str">
        <f aca="false">A$6</f>
        <v>Meta: Whatsapp</v>
      </c>
      <c r="B53" s="88" t="n">
        <f aca="false">971*10%</f>
        <v>97.1</v>
      </c>
      <c r="C53" s="114" t="n">
        <f aca="false">1789*10%</f>
        <v>178.9</v>
      </c>
      <c r="D53" s="89"/>
      <c r="E53" s="89"/>
      <c r="F53" s="89"/>
      <c r="G53" s="88"/>
      <c r="H53" s="90"/>
      <c r="I53" s="90"/>
      <c r="J53" s="91"/>
      <c r="K53" s="90"/>
      <c r="L53" s="90"/>
      <c r="M53" s="91"/>
      <c r="N53" s="92" t="n">
        <f aca="false">SUM(B53:M53)</f>
        <v>276</v>
      </c>
      <c r="O53" s="27"/>
    </row>
    <row r="54" customFormat="false" ht="15.75" hidden="false" customHeight="true" outlineLevel="0" collapsed="false">
      <c r="A54" s="63" t="str">
        <f aca="false">A$7</f>
        <v>Open Day/Tryouts</v>
      </c>
      <c r="B54" s="93" t="n">
        <v>56</v>
      </c>
      <c r="C54" s="115" t="n">
        <f aca="false">224+15</f>
        <v>239</v>
      </c>
      <c r="D54" s="94" t="str">
        <f aca="false">IF(D112,D41/D112,"")</f>
        <v/>
      </c>
      <c r="E54" s="94" t="str">
        <f aca="false">IF(E112,E41/E112,"")</f>
        <v/>
      </c>
      <c r="F54" s="94" t="str">
        <f aca="false">IF(F112,F41/F112,"")</f>
        <v/>
      </c>
      <c r="G54" s="93" t="str">
        <f aca="false">IF(G112,G41/G112,"")</f>
        <v/>
      </c>
      <c r="H54" s="94" t="str">
        <f aca="false">IF(H112,H41/H112,"")</f>
        <v/>
      </c>
      <c r="I54" s="94" t="str">
        <f aca="false">IF(I112,I41/I112,"")</f>
        <v/>
      </c>
      <c r="J54" s="95" t="str">
        <f aca="false">IF(J112,J41/J112,"")</f>
        <v/>
      </c>
      <c r="K54" s="94" t="str">
        <f aca="false">IF(K112,K41/K112,"")</f>
        <v/>
      </c>
      <c r="L54" s="94" t="str">
        <f aca="false">IF(L112,L41/L112,"")</f>
        <v/>
      </c>
      <c r="M54" s="95" t="str">
        <f aca="false">IF(M112,M41/M112,"")</f>
        <v/>
      </c>
      <c r="N54" s="93" t="n">
        <f aca="false">SUM(B54:M54)</f>
        <v>295</v>
      </c>
      <c r="O54" s="27"/>
    </row>
    <row r="55" customFormat="false" ht="15.75" hidden="false" customHeight="true" outlineLevel="0" collapsed="false">
      <c r="A55" s="116" t="s">
        <v>143</v>
      </c>
      <c r="B55" s="117" t="n">
        <f aca="false">SUM(B49:B54)</f>
        <v>589.1</v>
      </c>
      <c r="C55" s="118" t="n">
        <f aca="false">SUM(C49:C54)</f>
        <v>1416.9</v>
      </c>
      <c r="D55" s="118" t="n">
        <f aca="false">SUM(D49:D54)</f>
        <v>0</v>
      </c>
      <c r="E55" s="118" t="n">
        <f aca="false">SUM(E49:E54)</f>
        <v>0</v>
      </c>
      <c r="F55" s="118" t="n">
        <f aca="false">SUM(F49:F54)</f>
        <v>0</v>
      </c>
      <c r="G55" s="117" t="n">
        <f aca="false">SUM(G49:G54)</f>
        <v>0</v>
      </c>
      <c r="H55" s="118" t="n">
        <f aca="false">SUM(H49:H54)</f>
        <v>0</v>
      </c>
      <c r="I55" s="118" t="n">
        <f aca="false">SUM(I49:I54)</f>
        <v>0</v>
      </c>
      <c r="J55" s="119" t="n">
        <f aca="false">SUM(J49:J54)</f>
        <v>0</v>
      </c>
      <c r="K55" s="118" t="n">
        <f aca="false">SUM(K49:K54)</f>
        <v>0</v>
      </c>
      <c r="L55" s="118" t="n">
        <f aca="false">SUM(L49:L54)</f>
        <v>0</v>
      </c>
      <c r="M55" s="119" t="n">
        <f aca="false">SUM(M49:M54)</f>
        <v>0</v>
      </c>
      <c r="N55" s="118" t="n">
        <f aca="false">SUM(N49:N54)</f>
        <v>2006</v>
      </c>
      <c r="O55" s="27"/>
    </row>
    <row r="56" customFormat="false" ht="15.75" hidden="false" customHeight="true" outlineLevel="0" collapsed="false">
      <c r="A56" s="106" t="n">
        <v>0.59</v>
      </c>
      <c r="B56" s="100"/>
      <c r="C56" s="100"/>
      <c r="D56" s="100"/>
      <c r="E56" s="100"/>
      <c r="F56" s="100"/>
      <c r="G56" s="107"/>
      <c r="H56" s="100"/>
      <c r="I56" s="100"/>
      <c r="J56" s="108"/>
      <c r="K56" s="100"/>
      <c r="L56" s="100"/>
      <c r="M56" s="100"/>
      <c r="N56" s="97" t="n">
        <f aca="false">SUM(B56:M56)</f>
        <v>0</v>
      </c>
      <c r="O56" s="27"/>
    </row>
    <row r="57" customFormat="false" ht="15.75" hidden="false" customHeight="true" outlineLevel="0" collapsed="false">
      <c r="A57" s="106" t="n">
        <v>0.4</v>
      </c>
      <c r="B57" s="100"/>
      <c r="C57" s="100"/>
      <c r="D57" s="100"/>
      <c r="E57" s="100"/>
      <c r="F57" s="100"/>
      <c r="G57" s="107"/>
      <c r="H57" s="100"/>
      <c r="I57" s="100"/>
      <c r="J57" s="108"/>
      <c r="K57" s="100"/>
      <c r="L57" s="100"/>
      <c r="M57" s="100"/>
      <c r="N57" s="97" t="n">
        <f aca="false">SUM(B57:M57)</f>
        <v>0</v>
      </c>
      <c r="O57" s="27"/>
    </row>
    <row r="58" customFormat="false" ht="15.75" hidden="false" customHeight="true" outlineLevel="0" collapsed="false">
      <c r="A58" s="106" t="n">
        <v>0.85</v>
      </c>
      <c r="B58" s="100"/>
      <c r="C58" s="100"/>
      <c r="D58" s="100"/>
      <c r="E58" s="100"/>
      <c r="F58" s="100"/>
      <c r="G58" s="107"/>
      <c r="H58" s="100"/>
      <c r="I58" s="100"/>
      <c r="J58" s="108"/>
      <c r="K58" s="100"/>
      <c r="L58" s="100"/>
      <c r="M58" s="100"/>
      <c r="N58" s="97" t="n">
        <f aca="false">SUM(B58:M58)</f>
        <v>0</v>
      </c>
      <c r="O58" s="27"/>
    </row>
    <row r="59" customFormat="false" ht="15.75" hidden="false" customHeight="true" outlineLevel="0" collapsed="false">
      <c r="A59" s="106" t="n">
        <v>0.6</v>
      </c>
      <c r="B59" s="100"/>
      <c r="C59" s="100"/>
      <c r="D59" s="100"/>
      <c r="E59" s="100"/>
      <c r="F59" s="100"/>
      <c r="G59" s="107"/>
      <c r="H59" s="100"/>
      <c r="I59" s="100"/>
      <c r="J59" s="108"/>
      <c r="K59" s="100"/>
      <c r="L59" s="100"/>
      <c r="M59" s="100"/>
      <c r="N59" s="97" t="n">
        <f aca="false">SUM(B59:M59)</f>
        <v>0</v>
      </c>
      <c r="O59" s="27"/>
    </row>
    <row r="60" customFormat="false" ht="15.75" hidden="false" customHeight="true" outlineLevel="0" collapsed="false">
      <c r="A60" s="106" t="n">
        <v>0.3</v>
      </c>
      <c r="B60" s="100"/>
      <c r="C60" s="100"/>
      <c r="D60" s="100"/>
      <c r="E60" s="100"/>
      <c r="F60" s="100"/>
      <c r="G60" s="107"/>
      <c r="H60" s="100"/>
      <c r="I60" s="100"/>
      <c r="J60" s="108"/>
      <c r="K60" s="100"/>
      <c r="L60" s="100"/>
      <c r="M60" s="100"/>
      <c r="N60" s="97" t="n">
        <f aca="false">SUM(B60:M60)</f>
        <v>0</v>
      </c>
      <c r="O60" s="27"/>
    </row>
    <row r="61" customFormat="false" ht="15.75" hidden="false" customHeight="true" outlineLevel="0" collapsed="false">
      <c r="A61" s="106" t="n">
        <v>0.9</v>
      </c>
      <c r="B61" s="100"/>
      <c r="C61" s="100"/>
      <c r="D61" s="100"/>
      <c r="E61" s="100"/>
      <c r="F61" s="100"/>
      <c r="G61" s="107"/>
      <c r="H61" s="100"/>
      <c r="I61" s="100"/>
      <c r="J61" s="108"/>
      <c r="K61" s="100"/>
      <c r="L61" s="100"/>
      <c r="M61" s="100"/>
      <c r="N61" s="97" t="n">
        <f aca="false">SUM(B61:M61)</f>
        <v>0</v>
      </c>
      <c r="O61" s="27"/>
    </row>
    <row r="62" customFormat="false" ht="15.75" hidden="false" customHeight="true" outlineLevel="0" collapsed="false">
      <c r="A62" s="106" t="n">
        <v>0.64</v>
      </c>
      <c r="B62" s="100"/>
      <c r="C62" s="100"/>
      <c r="D62" s="100"/>
      <c r="E62" s="100"/>
      <c r="F62" s="100"/>
      <c r="G62" s="107"/>
      <c r="H62" s="100"/>
      <c r="I62" s="100"/>
      <c r="J62" s="108"/>
      <c r="K62" s="100"/>
      <c r="L62" s="100"/>
      <c r="M62" s="100"/>
      <c r="N62" s="112" t="n">
        <f aca="false">SUM(B62:M62)</f>
        <v>0</v>
      </c>
      <c r="O62" s="27"/>
    </row>
    <row r="63" customFormat="false" ht="15.75" hidden="false" customHeight="true" outlineLevel="0" collapsed="false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</row>
    <row r="64" customFormat="false" ht="15.75" hidden="false" customHeight="true" outlineLevel="0" collapsed="false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customFormat="false" ht="15.75" hidden="false" customHeight="true" outlineLevel="0" collapsed="false">
      <c r="A65" s="85" t="s">
        <v>144</v>
      </c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6" t="s">
        <v>126</v>
      </c>
      <c r="O65" s="27"/>
    </row>
    <row r="66" customFormat="false" ht="15.75" hidden="false" customHeight="true" outlineLevel="0" collapsed="false">
      <c r="A66" s="87" t="s">
        <v>133</v>
      </c>
      <c r="B66" s="50" t="n">
        <f aca="false">B$14</f>
        <v>46235</v>
      </c>
      <c r="C66" s="51" t="n">
        <f aca="false">C$14</f>
        <v>46266</v>
      </c>
      <c r="D66" s="51" t="n">
        <f aca="false">D$14</f>
        <v>46296</v>
      </c>
      <c r="E66" s="51" t="n">
        <f aca="false">E$14</f>
        <v>46327</v>
      </c>
      <c r="F66" s="51" t="n">
        <f aca="false">F$14</f>
        <v>46357</v>
      </c>
      <c r="G66" s="50" t="n">
        <f aca="false">G$14</f>
        <v>46388</v>
      </c>
      <c r="H66" s="51" t="n">
        <f aca="false">H$14</f>
        <v>46419</v>
      </c>
      <c r="I66" s="51" t="n">
        <f aca="false">I$14</f>
        <v>46447</v>
      </c>
      <c r="J66" s="52" t="n">
        <f aca="false">J$14</f>
        <v>46478</v>
      </c>
      <c r="K66" s="51" t="n">
        <f aca="false">K$14</f>
        <v>46508</v>
      </c>
      <c r="L66" s="51" t="n">
        <f aca="false">L$14</f>
        <v>46539</v>
      </c>
      <c r="M66" s="52" t="n">
        <f aca="false">M$14</f>
        <v>46569</v>
      </c>
      <c r="N66" s="86"/>
      <c r="O66" s="27"/>
    </row>
    <row r="67" customFormat="false" ht="15.75" hidden="false" customHeight="true" outlineLevel="0" collapsed="false">
      <c r="A67" s="56" t="str">
        <f aca="false">A$2</f>
        <v>Google SEM</v>
      </c>
      <c r="B67" s="120" t="n">
        <f aca="false">B49/B30</f>
        <v>0.679615</v>
      </c>
      <c r="C67" s="121" t="n">
        <f aca="false">C49/C30</f>
        <v>0.875900188323917</v>
      </c>
      <c r="D67" s="121" t="n">
        <f aca="false">D49/D30</f>
        <v>0</v>
      </c>
      <c r="E67" s="121" t="n">
        <f aca="false">E49/E30</f>
        <v>0</v>
      </c>
      <c r="F67" s="121" t="n">
        <f aca="false">F49/F30</f>
        <v>0</v>
      </c>
      <c r="G67" s="120" t="n">
        <f aca="false">G49/G30</f>
        <v>0</v>
      </c>
      <c r="H67" s="122" t="n">
        <f aca="false">H49/H30</f>
        <v>0</v>
      </c>
      <c r="I67" s="122" t="n">
        <f aca="false">I49/I30</f>
        <v>0</v>
      </c>
      <c r="J67" s="123" t="n">
        <f aca="false">J49/J30</f>
        <v>0</v>
      </c>
      <c r="K67" s="122" t="n">
        <f aca="false">K49/K30</f>
        <v>0</v>
      </c>
      <c r="L67" s="122" t="n">
        <f aca="false">L49/L30</f>
        <v>0</v>
      </c>
      <c r="M67" s="123" t="n">
        <f aca="false">M49/M30</f>
        <v>0</v>
      </c>
      <c r="N67" s="124" t="n">
        <f aca="false">N49/N30</f>
        <v>0.253258714641518</v>
      </c>
      <c r="O67" s="27"/>
    </row>
    <row r="68" customFormat="false" ht="15.75" hidden="false" customHeight="true" outlineLevel="0" collapsed="false">
      <c r="A68" s="56" t="str">
        <f aca="false">A$3</f>
        <v>Google PMax</v>
      </c>
      <c r="B68" s="120" t="n">
        <f aca="false">B50/B31</f>
        <v>1.2261737</v>
      </c>
      <c r="C68" s="121" t="n">
        <f aca="false">C50/C31</f>
        <v>1.75728361581921</v>
      </c>
      <c r="D68" s="121" t="n">
        <f aca="false">D50/D31</f>
        <v>0</v>
      </c>
      <c r="E68" s="121" t="n">
        <f aca="false">E50/E31</f>
        <v>0</v>
      </c>
      <c r="F68" s="121" t="n">
        <f aca="false">F50/F31</f>
        <v>0</v>
      </c>
      <c r="G68" s="120" t="n">
        <f aca="false">G50/G31</f>
        <v>0</v>
      </c>
      <c r="H68" s="122" t="n">
        <f aca="false">H50/H31</f>
        <v>0</v>
      </c>
      <c r="I68" s="122" t="n">
        <f aca="false">I50/I31</f>
        <v>0</v>
      </c>
      <c r="J68" s="123" t="n">
        <f aca="false">J50/J31</f>
        <v>0</v>
      </c>
      <c r="K68" s="122" t="n">
        <f aca="false">K50/K31</f>
        <v>0</v>
      </c>
      <c r="L68" s="122" t="n">
        <f aca="false">L50/L31</f>
        <v>0</v>
      </c>
      <c r="M68" s="123" t="n">
        <f aca="false">M50/M31</f>
        <v>0</v>
      </c>
      <c r="N68" s="124" t="n">
        <f aca="false">N50/N31</f>
        <v>0.389607556366909</v>
      </c>
      <c r="O68" s="27"/>
    </row>
    <row r="69" customFormat="false" ht="15.75" hidden="false" customHeight="true" outlineLevel="0" collapsed="false">
      <c r="A69" s="56" t="str">
        <f aca="false">A$4</f>
        <v>Meta: FB/IG Forms</v>
      </c>
      <c r="B69" s="120" t="n">
        <f aca="false">B51/B32</f>
        <v>0.569244714285714</v>
      </c>
      <c r="C69" s="121" t="n">
        <f aca="false">C51/C32</f>
        <v>0.650889442090396</v>
      </c>
      <c r="D69" s="121" t="n">
        <f aca="false">D51/D32</f>
        <v>0</v>
      </c>
      <c r="E69" s="121" t="n">
        <f aca="false">E51/E32</f>
        <v>0</v>
      </c>
      <c r="F69" s="121" t="n">
        <f aca="false">F51/F32</f>
        <v>0</v>
      </c>
      <c r="G69" s="120" t="n">
        <f aca="false">G51/G32</f>
        <v>0</v>
      </c>
      <c r="H69" s="122" t="n">
        <f aca="false">H51/H32</f>
        <v>0</v>
      </c>
      <c r="I69" s="122" t="n">
        <f aca="false">I51/I32</f>
        <v>0</v>
      </c>
      <c r="J69" s="123" t="n">
        <f aca="false">J51/J32</f>
        <v>0</v>
      </c>
      <c r="K69" s="122" t="n">
        <f aca="false">K51/K32</f>
        <v>0</v>
      </c>
      <c r="L69" s="122" t="n">
        <f aca="false">L51/L32</f>
        <v>0</v>
      </c>
      <c r="M69" s="123" t="n">
        <f aca="false">M51/M32</f>
        <v>0</v>
      </c>
      <c r="N69" s="124" t="n">
        <f aca="false">N51/N32</f>
        <v>0.102863422590281</v>
      </c>
      <c r="O69" s="27"/>
    </row>
    <row r="70" customFormat="false" ht="15.75" hidden="false" customHeight="true" outlineLevel="0" collapsed="false">
      <c r="A70" s="56" t="str">
        <f aca="false">A$5</f>
        <v>Meta: Website Leads</v>
      </c>
      <c r="B70" s="120" t="n">
        <f aca="false">B52/B33</f>
        <v>2.087182794</v>
      </c>
      <c r="C70" s="121" t="n">
        <f aca="false">C52/C33</f>
        <v>1.37836933615819</v>
      </c>
      <c r="D70" s="121" t="n">
        <f aca="false">D52/D33</f>
        <v>0</v>
      </c>
      <c r="E70" s="121" t="n">
        <f aca="false">E52/E33</f>
        <v>0</v>
      </c>
      <c r="F70" s="121" t="n">
        <f aca="false">F52/F33</f>
        <v>0</v>
      </c>
      <c r="G70" s="120" t="n">
        <f aca="false">G52/G33</f>
        <v>0</v>
      </c>
      <c r="H70" s="122" t="n">
        <f aca="false">H52/H33</f>
        <v>0</v>
      </c>
      <c r="I70" s="122" t="n">
        <f aca="false">I52/I33</f>
        <v>0</v>
      </c>
      <c r="J70" s="123" t="n">
        <f aca="false">J52/J33</f>
        <v>0</v>
      </c>
      <c r="K70" s="122" t="n">
        <f aca="false">K52/K33</f>
        <v>0</v>
      </c>
      <c r="L70" s="122" t="n">
        <f aca="false">L52/L33</f>
        <v>0</v>
      </c>
      <c r="M70" s="123" t="n">
        <f aca="false">M52/M33</f>
        <v>0</v>
      </c>
      <c r="N70" s="124" t="n">
        <f aca="false">N52/N33</f>
        <v>0.115304168347808</v>
      </c>
      <c r="O70" s="27"/>
    </row>
    <row r="71" customFormat="false" ht="15.75" hidden="false" customHeight="true" outlineLevel="0" collapsed="false">
      <c r="A71" s="56" t="str">
        <f aca="false">A$6</f>
        <v>Meta: Whatsapp</v>
      </c>
      <c r="B71" s="120" t="n">
        <f aca="false">B53/B34</f>
        <v>0.610609615384615</v>
      </c>
      <c r="C71" s="121" t="n">
        <f aca="false">C53/C34</f>
        <v>1.14162457627119</v>
      </c>
      <c r="D71" s="121" t="n">
        <f aca="false">D53/D34</f>
        <v>0</v>
      </c>
      <c r="E71" s="121" t="n">
        <f aca="false">E53/E34</f>
        <v>0</v>
      </c>
      <c r="F71" s="121" t="n">
        <f aca="false">F53/F34</f>
        <v>0</v>
      </c>
      <c r="G71" s="120" t="n">
        <f aca="false">G53/G34</f>
        <v>0</v>
      </c>
      <c r="H71" s="122" t="n">
        <f aca="false">H53/H34</f>
        <v>0</v>
      </c>
      <c r="I71" s="122" t="n">
        <f aca="false">I53/I34</f>
        <v>0</v>
      </c>
      <c r="J71" s="123" t="n">
        <f aca="false">J53/J34</f>
        <v>0</v>
      </c>
      <c r="K71" s="122" t="n">
        <f aca="false">K53/K34</f>
        <v>0</v>
      </c>
      <c r="L71" s="122" t="n">
        <f aca="false">L53/L34</f>
        <v>0</v>
      </c>
      <c r="M71" s="123" t="n">
        <f aca="false">M53/M34</f>
        <v>0</v>
      </c>
      <c r="N71" s="124" t="n">
        <f aca="false">N53/N34</f>
        <v>0.0994880367891949</v>
      </c>
      <c r="O71" s="27"/>
    </row>
    <row r="72" customFormat="false" ht="15.75" hidden="false" customHeight="true" outlineLevel="0" collapsed="false">
      <c r="A72" s="63" t="str">
        <f aca="false">A$7</f>
        <v>Open Day/Tryouts</v>
      </c>
      <c r="B72" s="125" t="n">
        <f aca="false">B54/B35</f>
        <v>0.178943578947368</v>
      </c>
      <c r="C72" s="126" t="n">
        <f aca="false">C54/C35</f>
        <v>1.25739655367232</v>
      </c>
      <c r="D72" s="126" t="e">
        <f aca="false">D54/D35</f>
        <v>#VALUE!</v>
      </c>
      <c r="E72" s="126" t="e">
        <f aca="false">E54/E35</f>
        <v>#VALUE!</v>
      </c>
      <c r="F72" s="126" t="e">
        <f aca="false">F54/F35</f>
        <v>#VALUE!</v>
      </c>
      <c r="G72" s="125" t="e">
        <f aca="false">G54/G35</f>
        <v>#VALUE!</v>
      </c>
      <c r="H72" s="126" t="e">
        <f aca="false">H54/H35</f>
        <v>#VALUE!</v>
      </c>
      <c r="I72" s="126" t="e">
        <f aca="false">I54/I35</f>
        <v>#VALUE!</v>
      </c>
      <c r="J72" s="127" t="e">
        <f aca="false">J54/J35</f>
        <v>#VALUE!</v>
      </c>
      <c r="K72" s="126" t="e">
        <f aca="false">K54/K35</f>
        <v>#VALUE!</v>
      </c>
      <c r="L72" s="126" t="e">
        <f aca="false">L54/L35</f>
        <v>#VALUE!</v>
      </c>
      <c r="M72" s="127" t="e">
        <f aca="false">M54/M35</f>
        <v>#VALUE!</v>
      </c>
      <c r="N72" s="125" t="n">
        <f aca="false">N54/N35</f>
        <v>0.127446943193893</v>
      </c>
      <c r="O72" s="27"/>
    </row>
    <row r="73" customFormat="false" ht="15.75" hidden="false" customHeight="true" outlineLevel="0" collapsed="false">
      <c r="A73" s="116" t="s">
        <v>143</v>
      </c>
      <c r="B73" s="128" t="n">
        <f aca="false">B55/B36</f>
        <v>0.543399870009841</v>
      </c>
      <c r="C73" s="129" t="n">
        <f aca="false">C55/C36</f>
        <v>0.853834249104592</v>
      </c>
      <c r="D73" s="129" t="n">
        <f aca="false">D55/D36</f>
        <v>0</v>
      </c>
      <c r="E73" s="129" t="n">
        <f aca="false">E55/E36</f>
        <v>0</v>
      </c>
      <c r="F73" s="129" t="n">
        <f aca="false">F55/F36</f>
        <v>0</v>
      </c>
      <c r="G73" s="128" t="n">
        <f aca="false">G55/G36</f>
        <v>0</v>
      </c>
      <c r="H73" s="129" t="n">
        <f aca="false">H55/H36</f>
        <v>0</v>
      </c>
      <c r="I73" s="129" t="n">
        <f aca="false">I55/I36</f>
        <v>0</v>
      </c>
      <c r="J73" s="130" t="n">
        <f aca="false">J55/J36</f>
        <v>0</v>
      </c>
      <c r="K73" s="129" t="n">
        <f aca="false">K55/K36</f>
        <v>0</v>
      </c>
      <c r="L73" s="129" t="n">
        <f aca="false">L55/L36</f>
        <v>0</v>
      </c>
      <c r="M73" s="130" t="n">
        <f aca="false">M55/M36</f>
        <v>0</v>
      </c>
      <c r="N73" s="129" t="n">
        <f aca="false">N55/N36</f>
        <v>0.120703188849208</v>
      </c>
      <c r="O73" s="27"/>
    </row>
    <row r="74" customFormat="false" ht="15.75" hidden="false" customHeight="true" outlineLevel="0" collapsed="false">
      <c r="A74" s="106" t="n">
        <v>0.59</v>
      </c>
      <c r="B74" s="100"/>
      <c r="C74" s="100"/>
      <c r="D74" s="100"/>
      <c r="E74" s="100"/>
      <c r="F74" s="100"/>
      <c r="G74" s="107"/>
      <c r="H74" s="100"/>
      <c r="I74" s="100"/>
      <c r="J74" s="108"/>
      <c r="K74" s="100"/>
      <c r="L74" s="100"/>
      <c r="M74" s="100"/>
      <c r="N74" s="97" t="n">
        <f aca="false">SUM(B74:M74)</f>
        <v>0</v>
      </c>
      <c r="O74" s="27"/>
    </row>
    <row r="75" customFormat="false" ht="15.75" hidden="false" customHeight="true" outlineLevel="0" collapsed="false">
      <c r="A75" s="106" t="n">
        <v>0.4</v>
      </c>
      <c r="B75" s="100"/>
      <c r="C75" s="100"/>
      <c r="D75" s="100"/>
      <c r="E75" s="100"/>
      <c r="F75" s="100"/>
      <c r="G75" s="107"/>
      <c r="H75" s="100"/>
      <c r="I75" s="100"/>
      <c r="J75" s="108"/>
      <c r="K75" s="100"/>
      <c r="L75" s="100"/>
      <c r="M75" s="100"/>
      <c r="N75" s="97" t="n">
        <f aca="false">SUM(B75:M75)</f>
        <v>0</v>
      </c>
      <c r="O75" s="27"/>
    </row>
    <row r="76" customFormat="false" ht="15.75" hidden="false" customHeight="true" outlineLevel="0" collapsed="false">
      <c r="A76" s="106" t="n">
        <v>0.85</v>
      </c>
      <c r="B76" s="100"/>
      <c r="C76" s="100"/>
      <c r="D76" s="100"/>
      <c r="E76" s="100"/>
      <c r="F76" s="100"/>
      <c r="G76" s="107"/>
      <c r="H76" s="100"/>
      <c r="I76" s="100"/>
      <c r="J76" s="108"/>
      <c r="K76" s="100"/>
      <c r="L76" s="100"/>
      <c r="M76" s="100"/>
      <c r="N76" s="97" t="n">
        <f aca="false">SUM(B76:M76)</f>
        <v>0</v>
      </c>
      <c r="O76" s="27"/>
    </row>
    <row r="77" customFormat="false" ht="15.75" hidden="false" customHeight="true" outlineLevel="0" collapsed="false">
      <c r="A77" s="106" t="n">
        <v>0.6</v>
      </c>
      <c r="B77" s="100"/>
      <c r="C77" s="100"/>
      <c r="D77" s="100"/>
      <c r="E77" s="100"/>
      <c r="F77" s="100"/>
      <c r="G77" s="107"/>
      <c r="H77" s="100"/>
      <c r="I77" s="100"/>
      <c r="J77" s="108"/>
      <c r="K77" s="100"/>
      <c r="L77" s="100"/>
      <c r="M77" s="100"/>
      <c r="N77" s="97" t="n">
        <f aca="false">SUM(B77:M77)</f>
        <v>0</v>
      </c>
      <c r="O77" s="27"/>
    </row>
    <row r="78" customFormat="false" ht="15.75" hidden="false" customHeight="true" outlineLevel="0" collapsed="false">
      <c r="A78" s="106" t="n">
        <v>0.3</v>
      </c>
      <c r="B78" s="100"/>
      <c r="C78" s="100"/>
      <c r="D78" s="100"/>
      <c r="E78" s="100"/>
      <c r="F78" s="100"/>
      <c r="G78" s="107"/>
      <c r="H78" s="100"/>
      <c r="I78" s="100"/>
      <c r="J78" s="108"/>
      <c r="K78" s="100"/>
      <c r="L78" s="100"/>
      <c r="M78" s="100"/>
      <c r="N78" s="97" t="n">
        <f aca="false">SUM(B78:M78)</f>
        <v>0</v>
      </c>
      <c r="O78" s="27"/>
    </row>
    <row r="79" customFormat="false" ht="15.75" hidden="false" customHeight="true" outlineLevel="0" collapsed="false">
      <c r="A79" s="106" t="n">
        <v>0.9</v>
      </c>
      <c r="B79" s="100"/>
      <c r="C79" s="100"/>
      <c r="D79" s="100"/>
      <c r="E79" s="100"/>
      <c r="F79" s="100"/>
      <c r="G79" s="107"/>
      <c r="H79" s="100"/>
      <c r="I79" s="100"/>
      <c r="J79" s="108"/>
      <c r="K79" s="100"/>
      <c r="L79" s="100"/>
      <c r="M79" s="100"/>
      <c r="N79" s="97" t="n">
        <f aca="false">SUM(B79:M79)</f>
        <v>0</v>
      </c>
      <c r="O79" s="27"/>
    </row>
    <row r="80" customFormat="false" ht="15.75" hidden="false" customHeight="true" outlineLevel="0" collapsed="false">
      <c r="A80" s="106" t="n">
        <v>0.64</v>
      </c>
      <c r="B80" s="100"/>
      <c r="C80" s="100"/>
      <c r="D80" s="100"/>
      <c r="E80" s="100"/>
      <c r="F80" s="100"/>
      <c r="G80" s="107"/>
      <c r="H80" s="100"/>
      <c r="I80" s="100"/>
      <c r="J80" s="108"/>
      <c r="K80" s="100"/>
      <c r="L80" s="100"/>
      <c r="M80" s="100"/>
      <c r="N80" s="112" t="n">
        <f aca="false">SUM(B80:M80)</f>
        <v>0</v>
      </c>
      <c r="O80" s="27"/>
    </row>
    <row r="81" customFormat="false" ht="15.75" hidden="false" customHeight="true" outlineLevel="0" collapsed="false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customFormat="false" ht="15.75" hidden="false" customHeight="true" outlineLevel="0" collapsed="false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</row>
    <row r="83" customFormat="false" ht="15.75" hidden="false" customHeight="true" outlineLevel="0" collapsed="false">
      <c r="A83" s="131" t="s">
        <v>145</v>
      </c>
      <c r="B83" s="132" t="n">
        <v>46295</v>
      </c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customFormat="false" ht="15.75" hidden="true" customHeight="true" outlineLevel="0" collapsed="false">
      <c r="A84" s="133" t="s">
        <v>146</v>
      </c>
      <c r="B84" s="134" t="n">
        <v>46235</v>
      </c>
      <c r="C84" s="134" t="n">
        <v>46266</v>
      </c>
      <c r="D84" s="134" t="n">
        <v>46296</v>
      </c>
      <c r="E84" s="134" t="n">
        <v>46327</v>
      </c>
      <c r="F84" s="134" t="n">
        <v>46357</v>
      </c>
      <c r="G84" s="134" t="n">
        <v>46388</v>
      </c>
      <c r="H84" s="134" t="n">
        <v>46419</v>
      </c>
      <c r="I84" s="134" t="n">
        <v>46447</v>
      </c>
      <c r="J84" s="134" t="n">
        <v>46478</v>
      </c>
      <c r="K84" s="134" t="n">
        <v>46508</v>
      </c>
      <c r="L84" s="134" t="n">
        <v>46539</v>
      </c>
      <c r="M84" s="134" t="n">
        <v>46569</v>
      </c>
      <c r="N84" s="27"/>
      <c r="O84" s="27"/>
    </row>
    <row r="85" customFormat="false" ht="15.75" hidden="true" customHeight="true" outlineLevel="0" collapsed="false">
      <c r="A85" s="133" t="s">
        <v>147</v>
      </c>
      <c r="B85" s="134" t="n">
        <v>46265</v>
      </c>
      <c r="C85" s="134" t="n">
        <v>46295</v>
      </c>
      <c r="D85" s="134" t="n">
        <v>46326</v>
      </c>
      <c r="E85" s="134" t="n">
        <v>46356</v>
      </c>
      <c r="F85" s="134" t="n">
        <v>46387</v>
      </c>
      <c r="G85" s="134" t="n">
        <v>46752</v>
      </c>
      <c r="H85" s="134" t="n">
        <v>46446</v>
      </c>
      <c r="I85" s="134" t="n">
        <v>46477</v>
      </c>
      <c r="J85" s="134" t="n">
        <v>46507</v>
      </c>
      <c r="K85" s="134" t="n">
        <v>46538</v>
      </c>
      <c r="L85" s="134" t="n">
        <v>46568</v>
      </c>
      <c r="M85" s="134" t="n">
        <v>46599</v>
      </c>
      <c r="N85" s="27"/>
      <c r="O85" s="27"/>
    </row>
    <row r="86" customFormat="false" ht="15.75" hidden="false" customHeight="true" outlineLevel="0" collapsed="false">
      <c r="A86" s="133" t="s">
        <v>148</v>
      </c>
      <c r="B86" s="135" t="n">
        <f aca="false">MAX(0,MIN((_xlfn.DAYS($B$83,B84)+1)/(_xlfn.DAYS(B85,B84)+1),1))</f>
        <v>1</v>
      </c>
      <c r="C86" s="135" t="n">
        <f aca="false">MAX(0,MIN((_xlfn.DAYS($B$83,C84)+1)/(_xlfn.DAYS(C85,C84)+1),1))</f>
        <v>1</v>
      </c>
      <c r="D86" s="135" t="n">
        <f aca="false">MAX(0,MIN((_xlfn.DAYS($B$83,D84)+1)/(_xlfn.DAYS(D85,D84)+1),1))</f>
        <v>0</v>
      </c>
      <c r="E86" s="135" t="n">
        <f aca="false">MAX(0,MIN((_xlfn.DAYS($B$83,E84)+1)/(_xlfn.DAYS(E85,E84)+1),1))</f>
        <v>0</v>
      </c>
      <c r="F86" s="135" t="n">
        <f aca="false">MAX(0,MIN((_xlfn.DAYS($B$83,F84)+1)/(_xlfn.DAYS(F85,F84)+1),1))</f>
        <v>0</v>
      </c>
      <c r="G86" s="135" t="n">
        <f aca="false">MAX(0,MIN((_xlfn.DAYS($B$83,G84)+1)/(_xlfn.DAYS(G85,G84)+1),1))</f>
        <v>0</v>
      </c>
      <c r="H86" s="135" t="n">
        <f aca="false">MAX(0,MIN((_xlfn.DAYS($B$83,H84)+1)/(_xlfn.DAYS(H85,H84)+1),1))</f>
        <v>0</v>
      </c>
      <c r="I86" s="135" t="n">
        <f aca="false">MAX(0,MIN((_xlfn.DAYS($B$83,I84)+1)/(_xlfn.DAYS(I85,I84)+1),1))</f>
        <v>0</v>
      </c>
      <c r="J86" s="135" t="n">
        <f aca="false">MAX(0,MIN((_xlfn.DAYS($B$83,J84)+1)/(_xlfn.DAYS(J85,J84)+1),1))</f>
        <v>0</v>
      </c>
      <c r="K86" s="135" t="n">
        <f aca="false">MAX(0,MIN((_xlfn.DAYS($B$83,K84)+1)/(_xlfn.DAYS(K85,K84)+1),1))</f>
        <v>0</v>
      </c>
      <c r="L86" s="135" t="n">
        <f aca="false">MAX(0,MIN((_xlfn.DAYS($B$83,L84)+1)/(_xlfn.DAYS(L85,L84)+1),1))</f>
        <v>0</v>
      </c>
      <c r="M86" s="135" t="n">
        <f aca="false">MAX(0,MIN((_xlfn.DAYS($B$83,M84)+1)/(_xlfn.DAYS(M85,M84)+1),1))</f>
        <v>0</v>
      </c>
      <c r="N86" s="27"/>
      <c r="O86" s="27"/>
    </row>
    <row r="87" customFormat="false" ht="15.75" hidden="false" customHeight="true" outlineLevel="0" collapsed="false">
      <c r="A87" s="133" t="s">
        <v>149</v>
      </c>
      <c r="B87" s="136" t="n">
        <f aca="false">IFERROR(B73/B86-100%,"")</f>
        <v>-0.456600129990159</v>
      </c>
      <c r="C87" s="136" t="n">
        <f aca="false">IFERROR(C73/C86-100%,"")</f>
        <v>-0.146165750895408</v>
      </c>
      <c r="D87" s="136" t="str">
        <f aca="false">IFERROR(D73/D86-100%,"")</f>
        <v/>
      </c>
      <c r="E87" s="136" t="str">
        <f aca="false">IFERROR(E73/E86-100%,"")</f>
        <v/>
      </c>
      <c r="F87" s="136" t="str">
        <f aca="false">IFERROR(F73/F86-100%,"")</f>
        <v/>
      </c>
      <c r="G87" s="136" t="str">
        <f aca="false">IFERROR(G73/G86-100%,"")</f>
        <v/>
      </c>
      <c r="H87" s="136" t="str">
        <f aca="false">IFERROR(H73/H86-100%,"")</f>
        <v/>
      </c>
      <c r="I87" s="136" t="str">
        <f aca="false">IFERROR(I73/I86-100%,"")</f>
        <v/>
      </c>
      <c r="J87" s="136" t="str">
        <f aca="false">IFERROR(J73/J86-100%,"")</f>
        <v/>
      </c>
      <c r="K87" s="136" t="str">
        <f aca="false">IFERROR(K73/K86-100%,"")</f>
        <v/>
      </c>
      <c r="L87" s="136" t="str">
        <f aca="false">IFERROR(L73/L86-100%,"")</f>
        <v/>
      </c>
      <c r="M87" s="136" t="str">
        <f aca="false">IFERROR(M73/M86-100%,"")</f>
        <v/>
      </c>
      <c r="N87" s="27"/>
      <c r="O87" s="27"/>
    </row>
    <row r="88" customFormat="false" ht="15.75" hidden="false" customHeight="true" outlineLevel="0" collapsed="false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customFormat="false" ht="15.75" hidden="false" customHeight="true" outlineLevel="0" collapsed="false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customFormat="false" ht="15.75" hidden="false" customHeight="true" outlineLevel="0" collapsed="false">
      <c r="A90" s="85" t="s">
        <v>150</v>
      </c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27"/>
      <c r="O90" s="27"/>
    </row>
    <row r="91" customFormat="false" ht="15.75" hidden="false" customHeight="true" outlineLevel="0" collapsed="false">
      <c r="A91" s="87" t="s">
        <v>133</v>
      </c>
      <c r="B91" s="50" t="n">
        <f aca="false">B$14</f>
        <v>46235</v>
      </c>
      <c r="C91" s="51" t="n">
        <f aca="false">C$14</f>
        <v>46266</v>
      </c>
      <c r="D91" s="51" t="n">
        <f aca="false">D$14</f>
        <v>46296</v>
      </c>
      <c r="E91" s="51" t="n">
        <f aca="false">E$14</f>
        <v>46327</v>
      </c>
      <c r="F91" s="51" t="n">
        <f aca="false">F$14</f>
        <v>46357</v>
      </c>
      <c r="G91" s="50" t="n">
        <f aca="false">G$14</f>
        <v>46388</v>
      </c>
      <c r="H91" s="51" t="n">
        <f aca="false">H$14</f>
        <v>46419</v>
      </c>
      <c r="I91" s="51" t="n">
        <f aca="false">I$14</f>
        <v>46447</v>
      </c>
      <c r="J91" s="51" t="n">
        <f aca="false">J$14</f>
        <v>46478</v>
      </c>
      <c r="K91" s="50" t="n">
        <f aca="false">K$14</f>
        <v>46508</v>
      </c>
      <c r="L91" s="51" t="n">
        <f aca="false">L$14</f>
        <v>46539</v>
      </c>
      <c r="M91" s="51" t="n">
        <f aca="false">M$14</f>
        <v>46569</v>
      </c>
      <c r="N91" s="27"/>
      <c r="O91" s="137" t="s">
        <v>151</v>
      </c>
    </row>
    <row r="92" customFormat="false" ht="15.75" hidden="false" customHeight="true" outlineLevel="0" collapsed="false">
      <c r="A92" s="138" t="s">
        <v>152</v>
      </c>
      <c r="B92" s="139" t="n">
        <v>0.09</v>
      </c>
      <c r="C92" s="140" t="n">
        <v>0.255</v>
      </c>
      <c r="D92" s="140" t="n">
        <v>0.05</v>
      </c>
      <c r="E92" s="140" t="n">
        <v>0.07</v>
      </c>
      <c r="F92" s="140" t="n">
        <v>0.095</v>
      </c>
      <c r="G92" s="139" t="n">
        <v>0.09</v>
      </c>
      <c r="H92" s="140" t="n">
        <v>0.075</v>
      </c>
      <c r="I92" s="140" t="n">
        <v>0.05</v>
      </c>
      <c r="J92" s="140" t="n">
        <v>0.095</v>
      </c>
      <c r="K92" s="139" t="n">
        <v>0.06</v>
      </c>
      <c r="L92" s="140" t="n">
        <v>0.07</v>
      </c>
      <c r="M92" s="140" t="n">
        <v>0.06</v>
      </c>
      <c r="N92" s="27"/>
      <c r="O92" s="105" t="s">
        <v>153</v>
      </c>
      <c r="P92" s="141" t="n">
        <v>0.122</v>
      </c>
    </row>
    <row r="93" customFormat="false" ht="15.75" hidden="false" customHeight="true" outlineLevel="0" collapsed="false">
      <c r="A93" s="56" t="str">
        <f aca="false">A$2</f>
        <v>Google SEM</v>
      </c>
      <c r="B93" s="142" t="n">
        <f aca="false">B103*(100%+B$92)</f>
        <v>1422.45</v>
      </c>
      <c r="C93" s="143" t="n">
        <f aca="false">C103*(100%+C$92)</f>
        <v>2051.925</v>
      </c>
      <c r="D93" s="144" t="n">
        <f aca="false">D103*(100%+D$92)*(1-$P$92)</f>
        <v>946.7913</v>
      </c>
      <c r="E93" s="144" t="n">
        <f aca="false">E103*(100%+E$92)*(1-$P$92)</f>
        <v>931.00486</v>
      </c>
      <c r="F93" s="144" t="n">
        <f aca="false">F103*(100%+F$92)*(1-$P$92)</f>
        <v>955.64154</v>
      </c>
      <c r="G93" s="145" t="n">
        <f aca="false">G103*(100%+G$92)*(1-$P$92)</f>
        <v>900.55582</v>
      </c>
      <c r="H93" s="144" t="n">
        <f aca="false">H103*(100%+H$92)*(1-$P$92)</f>
        <v>1263.81515</v>
      </c>
      <c r="I93" s="144" t="n">
        <f aca="false">I103*(100%+I$92)*(1-$P$92)</f>
        <v>1281.441</v>
      </c>
      <c r="J93" s="144" t="n">
        <f aca="false">J103*(100%+J$92)*(1-$P$92)</f>
        <v>900.84117</v>
      </c>
      <c r="K93" s="145" t="n">
        <f aca="false">K103*(100%+K$92)*(1-$P$92)</f>
        <v>1140.083</v>
      </c>
      <c r="L93" s="144" t="n">
        <f aca="false">L103*(100%+L$92)*(1-$P$92)</f>
        <v>979.85678</v>
      </c>
      <c r="M93" s="144" t="n">
        <f aca="false">M103*(100%+M$92)*(1-$P$92)</f>
        <v>1126.1228</v>
      </c>
      <c r="N93" s="27"/>
      <c r="O93" s="137" t="s">
        <v>154</v>
      </c>
    </row>
    <row r="94" customFormat="false" ht="15.75" hidden="false" customHeight="true" outlineLevel="0" collapsed="false">
      <c r="A94" s="56" t="str">
        <f aca="false">A$3</f>
        <v>Google PMax</v>
      </c>
      <c r="B94" s="142" t="n">
        <f aca="false">B104*(100%+B$92)</f>
        <v>1679.69</v>
      </c>
      <c r="C94" s="143" t="n">
        <f aca="false">C104*(100%+C$92)</f>
        <v>1943.995</v>
      </c>
      <c r="D94" s="144" t="n">
        <f aca="false">D104*(100%+D$92)*(1-$P$92)</f>
        <v>1381.9281</v>
      </c>
      <c r="E94" s="144" t="n">
        <f aca="false">E104*(100%+E$92)*(1-$P$92)</f>
        <v>1050.31628</v>
      </c>
      <c r="F94" s="144" t="n">
        <f aca="false">F104*(100%+F$92)*(1-$P$92)</f>
        <v>1072.93356</v>
      </c>
      <c r="G94" s="145" t="n">
        <f aca="false">G104*(100%+G$92)*(1-$P$92)</f>
        <v>1482.42398</v>
      </c>
      <c r="H94" s="144" t="n">
        <f aca="false">H104*(100%+H$92)*(1-$P$92)</f>
        <v>1414.83115</v>
      </c>
      <c r="I94" s="144" t="n">
        <f aca="false">I104*(100%+I$92)*(1-$P$92)</f>
        <v>1030.6842</v>
      </c>
      <c r="J94" s="144" t="n">
        <f aca="false">J104*(100%+J$92)*(1-$P$92)</f>
        <v>1072.93356</v>
      </c>
      <c r="K94" s="145" t="n">
        <f aca="false">K104*(100%+K$92)*(1-$P$92)</f>
        <v>1487.22664</v>
      </c>
      <c r="L94" s="144" t="n">
        <f aca="false">L104*(100%+L$92)*(1-$P$92)</f>
        <v>1341.54888</v>
      </c>
      <c r="M94" s="144" t="n">
        <f aca="false">M104*(100%+M$92)*(1-$P$92)</f>
        <v>1348.55532</v>
      </c>
      <c r="N94" s="27"/>
      <c r="O94" s="27"/>
    </row>
    <row r="95" customFormat="false" ht="15.75" hidden="false" customHeight="true" outlineLevel="0" collapsed="false">
      <c r="A95" s="56" t="str">
        <f aca="false">A$4</f>
        <v>Meta: FB/IG Forms</v>
      </c>
      <c r="B95" s="142" t="n">
        <f aca="false">B105*(100%+B$92)</f>
        <v>909.06</v>
      </c>
      <c r="C95" s="143" t="n">
        <f aca="false">C105*(100%+C$92)</f>
        <v>894.815</v>
      </c>
      <c r="D95" s="144" t="n">
        <f aca="false">D105*(100%+D$92)*(1-$P$92)</f>
        <v>696.0345</v>
      </c>
      <c r="E95" s="144" t="n">
        <f aca="false">E105*(100%+E$92)*(1-$P$92)</f>
        <v>770.3572</v>
      </c>
      <c r="F95" s="144" t="n">
        <f aca="false">F105*(100%+F$92)*(1-$P$92)</f>
        <v>762.39813</v>
      </c>
      <c r="G95" s="145" t="n">
        <f aca="false">G105*(100%+G$92)*(1-$P$92)</f>
        <v>742.64752</v>
      </c>
      <c r="H95" s="144" t="n">
        <f aca="false">H105*(100%+H$92)*(1-$P$92)</f>
        <v>848.52115</v>
      </c>
      <c r="I95" s="144" t="n">
        <f aca="false">I105*(100%+I$92)*(1-$P$92)</f>
        <v>814.0377</v>
      </c>
      <c r="J95" s="144" t="n">
        <f aca="false">J105*(100%+J$92)*(1-$P$92)</f>
        <v>889.30425</v>
      </c>
      <c r="K95" s="145" t="n">
        <f aca="false">K105*(100%+K$92)*(1-$P$92)</f>
        <v>964.18448</v>
      </c>
      <c r="L95" s="144" t="n">
        <f aca="false">L105*(100%+L$92)*(1-$P$92)</f>
        <v>1038.1033</v>
      </c>
      <c r="M95" s="144" t="n">
        <f aca="false">M105*(100%+M$92)*(1-$P$92)</f>
        <v>847.84948</v>
      </c>
      <c r="N95" s="27"/>
      <c r="O95" s="27"/>
    </row>
    <row r="96" customFormat="false" ht="15.75" hidden="false" customHeight="true" outlineLevel="0" collapsed="false">
      <c r="A96" s="56" t="str">
        <f aca="false">A$5</f>
        <v>Meta: Website Leads</v>
      </c>
      <c r="B96" s="142" t="n">
        <f aca="false">B106*(100%+B$92)</f>
        <v>1830.8621</v>
      </c>
      <c r="C96" s="143" t="n">
        <f aca="false">C106*(100%+C$92)</f>
        <v>2439.713725</v>
      </c>
      <c r="D96" s="144" t="n">
        <f aca="false">D106*(100%+D$92)*(1-$P$92)</f>
        <v>1451.024505</v>
      </c>
      <c r="E96" s="144" t="n">
        <f aca="false">E106*(100%+E$92)*(1-$P$92)</f>
        <v>1123.8384196</v>
      </c>
      <c r="F96" s="144" t="n">
        <f aca="false">F106*(100%+F$92)*(1-$P$92)</f>
        <v>1185.5915838</v>
      </c>
      <c r="G96" s="145" t="n">
        <f aca="false">G106*(100%+G$92)*(1-$P$92)</f>
        <v>1630.666378</v>
      </c>
      <c r="H96" s="144" t="n">
        <f aca="false">H106*(100%+H$92)*(1-$P$92)</f>
        <v>1577.53673225</v>
      </c>
      <c r="I96" s="144" t="n">
        <f aca="false">I106*(100%+I$92)*(1-$P$92)</f>
        <v>1082.21841</v>
      </c>
      <c r="J96" s="144" t="n">
        <f aca="false">J106*(100%+J$92)*(1-$P$92)</f>
        <v>1174.8622482</v>
      </c>
      <c r="K96" s="145" t="n">
        <f aca="false">K106*(100%+K$92)*(1-$P$92)</f>
        <v>2076.230745</v>
      </c>
      <c r="L96" s="144" t="n">
        <f aca="false">L106*(100%+L$92)*(1-$P$92)</f>
        <v>1569.6121896</v>
      </c>
      <c r="M96" s="144" t="n">
        <f aca="false">M106*(100%+M$92)*(1-$P$92)</f>
        <v>1726.1508096</v>
      </c>
      <c r="N96" s="27"/>
      <c r="O96" s="27"/>
    </row>
    <row r="97" customFormat="false" ht="15.75" hidden="false" customHeight="true" outlineLevel="0" collapsed="false">
      <c r="A97" s="56" t="str">
        <f aca="false">A$6</f>
        <v>Meta: Whatsapp</v>
      </c>
      <c r="B97" s="142" t="n">
        <f aca="false">B107*(100%+B$92)</f>
        <v>81.75</v>
      </c>
      <c r="C97" s="143" t="n">
        <f aca="false">C107*(100%+C$92)</f>
        <v>146.835</v>
      </c>
      <c r="D97" s="144" t="n">
        <f aca="false">D107*(100%+D$92)*(1-$P$92)</f>
        <v>113.3937</v>
      </c>
      <c r="E97" s="144" t="n">
        <f aca="false">E107*(100%+E$92)*(1-$P$92)</f>
        <v>123.06926</v>
      </c>
      <c r="F97" s="144" t="n">
        <f aca="false">F107*(100%+F$92)*(1-$P$92)</f>
        <v>86.5269</v>
      </c>
      <c r="G97" s="145" t="n">
        <f aca="false">G107*(100%+G$92)*(1-$P$92)</f>
        <v>74.64756</v>
      </c>
      <c r="H97" s="144" t="n">
        <f aca="false">H107*(100%+H$92)*(1-$P$92)</f>
        <v>68.90105</v>
      </c>
      <c r="I97" s="144" t="n">
        <f aca="false">I107*(100%+I$92)*(1-$P$92)</f>
        <v>69.1425</v>
      </c>
      <c r="J97" s="144" t="n">
        <f aca="false">J107*(100%+J$92)*(1-$P$92)</f>
        <v>65.37588</v>
      </c>
      <c r="K97" s="145" t="n">
        <f aca="false">K107*(100%+K$92)*(1-$P$92)</f>
        <v>101.44412</v>
      </c>
      <c r="L97" s="144" t="n">
        <f aca="false">L107*(100%+L$92)*(1-$P$92)</f>
        <v>84.5514</v>
      </c>
      <c r="M97" s="144" t="n">
        <f aca="false">M107*(100%+M$92)*(1-$P$92)</f>
        <v>85.62256</v>
      </c>
      <c r="N97" s="27"/>
      <c r="O97" s="27"/>
    </row>
    <row r="98" customFormat="false" ht="15.75" hidden="false" customHeight="true" outlineLevel="0" collapsed="false">
      <c r="A98" s="56" t="str">
        <f aca="false">A$7</f>
        <v>Open Day/Tryouts</v>
      </c>
      <c r="B98" s="142" t="n">
        <f aca="false">B108*(100%+B$92)</f>
        <v>607.13</v>
      </c>
      <c r="C98" s="143" t="n">
        <f aca="false">C108*(100%+C$92)</f>
        <v>465.605</v>
      </c>
      <c r="D98" s="143" t="n">
        <f aca="false">D108*(100%+D$92)</f>
        <v>533.4</v>
      </c>
      <c r="E98" s="143" t="n">
        <f aca="false">AVERAGE(D98,F98)</f>
        <v>561.8025</v>
      </c>
      <c r="F98" s="143" t="n">
        <f aca="false">F108*(100%+F$92)</f>
        <v>590.205</v>
      </c>
      <c r="G98" s="142" t="n">
        <f aca="false">G108*(100%+G$92)</f>
        <v>408.75</v>
      </c>
      <c r="H98" s="146" t="n">
        <f aca="false">H108*(100%+H$92)</f>
        <v>427.3125</v>
      </c>
      <c r="I98" s="146" t="n">
        <f aca="false">I108*(100%+I$92)</f>
        <v>441</v>
      </c>
      <c r="J98" s="146" t="n">
        <f aca="false">J108*(100%+J$92)</f>
        <v>588.015</v>
      </c>
      <c r="K98" s="147" t="n">
        <f aca="false">K108*(100%+K$92)</f>
        <v>397.5</v>
      </c>
      <c r="L98" s="146" t="n">
        <f aca="false">L108*(100%+L$92)</f>
        <v>404.46</v>
      </c>
      <c r="M98" s="146" t="n">
        <f aca="false">M108*(100%+M$92)</f>
        <v>516.22</v>
      </c>
      <c r="N98" s="27"/>
      <c r="O98" s="27"/>
    </row>
    <row r="99" customFormat="false" ht="15.75" hidden="false" customHeight="true" outlineLevel="0" collapsed="false">
      <c r="A99" s="68" t="str">
        <f aca="false">A$8</f>
        <v>Interacciones</v>
      </c>
      <c r="B99" s="148" t="n">
        <f aca="false">B109*(100%+B$92)</f>
        <v>1.6241</v>
      </c>
      <c r="C99" s="149" t="n">
        <f aca="false">C109*(100%+C$92)</f>
        <v>1.41815</v>
      </c>
      <c r="D99" s="149" t="n">
        <f aca="false">D109*(100%+D$92)</f>
        <v>0.21</v>
      </c>
      <c r="E99" s="149" t="n">
        <f aca="false">E109*(100%+E$92)</f>
        <v>0.107</v>
      </c>
      <c r="F99" s="149" t="n">
        <f aca="false">F109*(100%+F$92)</f>
        <v>0.1095</v>
      </c>
      <c r="G99" s="148" t="n">
        <f aca="false">G109*(100%+G$92)</f>
        <v>0.545</v>
      </c>
      <c r="H99" s="149" t="n">
        <f aca="false">H109*(100%+H$92)</f>
        <v>0.5375</v>
      </c>
      <c r="I99" s="149" t="n">
        <f aca="false">I109*(100%+I$92)</f>
        <v>1.827</v>
      </c>
      <c r="J99" s="150" t="n">
        <f aca="false">J109*(100%+J$92)</f>
        <v>1.76295</v>
      </c>
      <c r="K99" s="149" t="n">
        <f aca="false">K109*(100%+K$92)</f>
        <v>1.9292</v>
      </c>
      <c r="L99" s="149" t="n">
        <f aca="false">L109*(100%+L$92)</f>
        <v>2.1079</v>
      </c>
      <c r="M99" s="149" t="n">
        <f aca="false">M109*(100%+M$92)</f>
        <v>2.0882</v>
      </c>
      <c r="N99" s="27"/>
      <c r="O99" s="27"/>
    </row>
    <row r="100" customFormat="false" ht="15.75" hidden="false" customHeight="true" outlineLevel="0" collapsed="false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customFormat="false" ht="15.75" hidden="false" customHeight="true" outlineLevel="0" collapsed="false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customFormat="false" ht="15.75" hidden="false" customHeight="true" outlineLevel="0" collapsed="false">
      <c r="A102" s="151" t="s">
        <v>155</v>
      </c>
      <c r="B102" s="152" t="n">
        <v>45870</v>
      </c>
      <c r="C102" s="153" t="n">
        <v>45901</v>
      </c>
      <c r="D102" s="153" t="n">
        <v>45931</v>
      </c>
      <c r="E102" s="153" t="n">
        <v>45962</v>
      </c>
      <c r="F102" s="153" t="n">
        <v>45992</v>
      </c>
      <c r="G102" s="152" t="n">
        <v>45658</v>
      </c>
      <c r="H102" s="153" t="n">
        <v>45689</v>
      </c>
      <c r="I102" s="153" t="n">
        <v>45717</v>
      </c>
      <c r="J102" s="153" t="n">
        <v>45748</v>
      </c>
      <c r="K102" s="152" t="n">
        <v>45778</v>
      </c>
      <c r="L102" s="153" t="n">
        <v>45809</v>
      </c>
      <c r="M102" s="153" t="n">
        <v>45839</v>
      </c>
      <c r="N102" s="27"/>
      <c r="O102" s="27"/>
    </row>
    <row r="103" customFormat="false" ht="15.75" hidden="false" customHeight="true" outlineLevel="0" collapsed="false">
      <c r="A103" s="143" t="str">
        <f aca="false">A$2</f>
        <v>Google SEM</v>
      </c>
      <c r="B103" s="142" t="n">
        <v>1305</v>
      </c>
      <c r="C103" s="143" t="n">
        <v>1635</v>
      </c>
      <c r="D103" s="143" t="n">
        <v>1027</v>
      </c>
      <c r="E103" s="143" t="n">
        <v>991</v>
      </c>
      <c r="F103" s="143" t="n">
        <v>994</v>
      </c>
      <c r="G103" s="142" t="n">
        <v>941</v>
      </c>
      <c r="H103" s="143" t="n">
        <v>1339</v>
      </c>
      <c r="I103" s="143" t="n">
        <v>1390</v>
      </c>
      <c r="J103" s="143" t="n">
        <v>937</v>
      </c>
      <c r="K103" s="142" t="n">
        <v>1225</v>
      </c>
      <c r="L103" s="143" t="n">
        <v>1043</v>
      </c>
      <c r="M103" s="143" t="n">
        <v>1210</v>
      </c>
      <c r="N103" s="27"/>
      <c r="O103" s="27"/>
    </row>
    <row r="104" customFormat="false" ht="15.75" hidden="false" customHeight="true" outlineLevel="0" collapsed="false">
      <c r="A104" s="143" t="str">
        <f aca="false">A$3</f>
        <v>Google PMax</v>
      </c>
      <c r="B104" s="142" t="n">
        <v>1541</v>
      </c>
      <c r="C104" s="143" t="n">
        <v>1549</v>
      </c>
      <c r="D104" s="143" t="n">
        <v>1499</v>
      </c>
      <c r="E104" s="143" t="n">
        <v>1118</v>
      </c>
      <c r="F104" s="143" t="n">
        <v>1116</v>
      </c>
      <c r="G104" s="142" t="n">
        <v>1549</v>
      </c>
      <c r="H104" s="143" t="n">
        <v>1499</v>
      </c>
      <c r="I104" s="143" t="n">
        <v>1118</v>
      </c>
      <c r="J104" s="143" t="n">
        <v>1116</v>
      </c>
      <c r="K104" s="142" t="n">
        <v>1598</v>
      </c>
      <c r="L104" s="143" t="n">
        <v>1428</v>
      </c>
      <c r="M104" s="143" t="n">
        <v>1449</v>
      </c>
      <c r="N104" s="27"/>
      <c r="O104" s="27"/>
    </row>
    <row r="105" customFormat="false" ht="15.75" hidden="false" customHeight="true" outlineLevel="0" collapsed="false">
      <c r="A105" s="143" t="str">
        <f aca="false">A$4</f>
        <v>Meta: FB/IG Forms</v>
      </c>
      <c r="B105" s="142" t="n">
        <v>834</v>
      </c>
      <c r="C105" s="143" t="n">
        <v>713</v>
      </c>
      <c r="D105" s="143" t="n">
        <v>755</v>
      </c>
      <c r="E105" s="143" t="n">
        <v>820</v>
      </c>
      <c r="F105" s="143" t="n">
        <v>793</v>
      </c>
      <c r="G105" s="142" t="n">
        <v>776</v>
      </c>
      <c r="H105" s="143" t="n">
        <v>899</v>
      </c>
      <c r="I105" s="143" t="n">
        <v>883</v>
      </c>
      <c r="J105" s="143" t="n">
        <v>925</v>
      </c>
      <c r="K105" s="142" t="n">
        <v>1036</v>
      </c>
      <c r="L105" s="143" t="n">
        <v>1105</v>
      </c>
      <c r="M105" s="143" t="n">
        <v>911</v>
      </c>
      <c r="N105" s="27"/>
      <c r="O105" s="27"/>
    </row>
    <row r="106" customFormat="false" ht="15.75" hidden="false" customHeight="true" outlineLevel="0" collapsed="false">
      <c r="A106" s="56" t="str">
        <f aca="false">A$5</f>
        <v>Meta: Website Leads</v>
      </c>
      <c r="B106" s="142" t="n">
        <v>1679.69</v>
      </c>
      <c r="C106" s="143" t="n">
        <v>1943.995</v>
      </c>
      <c r="D106" s="143" t="n">
        <v>1573.95</v>
      </c>
      <c r="E106" s="143" t="n">
        <v>1196.26</v>
      </c>
      <c r="F106" s="143" t="n">
        <v>1233.18</v>
      </c>
      <c r="G106" s="142" t="n">
        <v>1703.9</v>
      </c>
      <c r="H106" s="143" t="n">
        <v>1671.385</v>
      </c>
      <c r="I106" s="143" t="n">
        <v>1173.9</v>
      </c>
      <c r="J106" s="143" t="n">
        <v>1222.02</v>
      </c>
      <c r="K106" s="142" t="n">
        <v>2230.875</v>
      </c>
      <c r="L106" s="143" t="n">
        <v>1670.76</v>
      </c>
      <c r="M106" s="143" t="n">
        <v>1854.72</v>
      </c>
      <c r="N106" s="27"/>
      <c r="O106" s="27"/>
    </row>
    <row r="107" customFormat="false" ht="15.75" hidden="false" customHeight="true" outlineLevel="0" collapsed="false">
      <c r="A107" s="143" t="str">
        <f aca="false">A$6</f>
        <v>Meta: Whatsapp</v>
      </c>
      <c r="B107" s="142" t="n">
        <v>75</v>
      </c>
      <c r="C107" s="143" t="n">
        <v>117</v>
      </c>
      <c r="D107" s="143" t="n">
        <v>123</v>
      </c>
      <c r="E107" s="143" t="n">
        <v>131</v>
      </c>
      <c r="F107" s="143" t="n">
        <v>90</v>
      </c>
      <c r="G107" s="142" t="n">
        <v>78</v>
      </c>
      <c r="H107" s="143" t="n">
        <v>73</v>
      </c>
      <c r="I107" s="143" t="n">
        <v>75</v>
      </c>
      <c r="J107" s="143" t="n">
        <v>68</v>
      </c>
      <c r="K107" s="142" t="n">
        <v>109</v>
      </c>
      <c r="L107" s="143" t="n">
        <v>90</v>
      </c>
      <c r="M107" s="143" t="n">
        <v>92</v>
      </c>
      <c r="N107" s="27"/>
      <c r="O107" s="27"/>
    </row>
    <row r="108" customFormat="false" ht="15.75" hidden="false" customHeight="true" outlineLevel="0" collapsed="false">
      <c r="A108" s="143" t="str">
        <f aca="false">A$7</f>
        <v>Open Day/Tryouts</v>
      </c>
      <c r="B108" s="142" t="n">
        <v>557</v>
      </c>
      <c r="C108" s="143" t="n">
        <v>371</v>
      </c>
      <c r="D108" s="143" t="n">
        <v>508</v>
      </c>
      <c r="E108" s="143" t="n">
        <v>366</v>
      </c>
      <c r="F108" s="143" t="n">
        <v>539</v>
      </c>
      <c r="G108" s="142" t="n">
        <v>375</v>
      </c>
      <c r="H108" s="143" t="n">
        <f aca="false">AVERAGE(G108,I108)</f>
        <v>397.5</v>
      </c>
      <c r="I108" s="143" t="n">
        <v>420</v>
      </c>
      <c r="J108" s="143" t="n">
        <v>537</v>
      </c>
      <c r="K108" s="142" t="n">
        <v>375</v>
      </c>
      <c r="L108" s="143" t="n">
        <v>378</v>
      </c>
      <c r="M108" s="143" t="n">
        <v>487</v>
      </c>
      <c r="N108" s="27"/>
      <c r="O108" s="27"/>
    </row>
    <row r="109" customFormat="false" ht="15.75" hidden="false" customHeight="true" outlineLevel="0" collapsed="false">
      <c r="A109" s="149" t="str">
        <f aca="false">A$8</f>
        <v>Interacciones</v>
      </c>
      <c r="B109" s="148" t="n">
        <v>1.49</v>
      </c>
      <c r="C109" s="149" t="n">
        <v>1.13</v>
      </c>
      <c r="D109" s="149" t="n">
        <v>0.2</v>
      </c>
      <c r="E109" s="149" t="n">
        <v>0.1</v>
      </c>
      <c r="F109" s="149" t="n">
        <v>0.1</v>
      </c>
      <c r="G109" s="148" t="n">
        <v>0.5</v>
      </c>
      <c r="H109" s="149" t="n">
        <v>0.5</v>
      </c>
      <c r="I109" s="149" t="n">
        <v>1.74</v>
      </c>
      <c r="J109" s="149" t="n">
        <v>1.61</v>
      </c>
      <c r="K109" s="148" t="n">
        <v>1.82</v>
      </c>
      <c r="L109" s="149" t="n">
        <v>1.97</v>
      </c>
      <c r="M109" s="149" t="n">
        <v>1.97</v>
      </c>
      <c r="N109" s="27"/>
      <c r="O109" s="27"/>
    </row>
    <row r="110" customFormat="false" ht="15.75" hidden="false" customHeight="true" outlineLevel="0" collapsed="false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customFormat="false" ht="15.75" hidden="false" customHeight="true" outlineLevel="0" collapsed="false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customFormat="false" ht="15.75" hidden="false" customHeight="true" outlineLevel="0" collapsed="false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customFormat="false" ht="15.75" hidden="false" customHeight="true" outlineLevel="0" collapsed="false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customFormat="false" ht="15.75" hidden="false" customHeight="true" outlineLevel="0" collapsed="false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customFormat="false" ht="15.75" hidden="false" customHeight="true" outlineLevel="0" collapsed="false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customFormat="false" ht="15.75" hidden="false" customHeight="true" outlineLevel="0" collapsed="false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customFormat="false" ht="15.75" hidden="false" customHeight="true" outlineLevel="0" collapsed="false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customFormat="false" ht="15.75" hidden="false" customHeight="true" outlineLevel="0" collapsed="false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customFormat="false" ht="15.75" hidden="false" customHeight="true" outlineLevel="0" collapsed="false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customFormat="false" ht="15.75" hidden="false" customHeight="true" outlineLevel="0" collapsed="false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customFormat="false" ht="15.75" hidden="false" customHeight="true" outlineLevel="0" collapsed="false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customFormat="false" ht="15.75" hidden="false" customHeight="true" outlineLevel="0" collapsed="false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customFormat="false" ht="15.75" hidden="false" customHeight="true" outlineLevel="0" collapsed="false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customFormat="false" ht="15.75" hidden="false" customHeight="true" outlineLevel="0" collapsed="false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customFormat="false" ht="15.75" hidden="false" customHeight="true" outlineLevel="0" collapsed="false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customFormat="false" ht="15.75" hidden="false" customHeight="true" outlineLevel="0" collapsed="false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customFormat="false" ht="15.75" hidden="false" customHeight="true" outlineLevel="0" collapsed="false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customFormat="false" ht="15.75" hidden="false" customHeight="true" outlineLevel="0" collapsed="false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customFormat="false" ht="15.75" hidden="false" customHeight="true" outlineLevel="0" collapsed="false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customFormat="false" ht="15.75" hidden="false" customHeight="true" outlineLevel="0" collapsed="false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customFormat="false" ht="15.75" hidden="false" customHeight="true" outlineLevel="0" collapsed="false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customFormat="false" ht="15.75" hidden="false" customHeight="true" outlineLevel="0" collapsed="false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customFormat="false" ht="15.75" hidden="false" customHeight="true" outlineLevel="0" collapsed="false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customFormat="false" ht="15.75" hidden="false" customHeight="true" outlineLevel="0" collapsed="false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customFormat="false" ht="15.75" hidden="false" customHeight="true" outlineLevel="0" collapsed="false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customFormat="false" ht="15.75" hidden="false" customHeight="true" outlineLevel="0" collapsed="false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</row>
    <row r="137" customFormat="false" ht="15.75" hidden="false" customHeight="true" outlineLevel="0" collapsed="false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</row>
    <row r="138" customFormat="false" ht="15.75" hidden="false" customHeight="true" outlineLevel="0" collapsed="false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</row>
    <row r="139" customFormat="false" ht="15.75" hidden="false" customHeight="true" outlineLevel="0" collapsed="false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</row>
    <row r="140" customFormat="false" ht="15.75" hidden="false" customHeight="true" outlineLevel="0" collapsed="false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</row>
    <row r="141" customFormat="false" ht="15.75" hidden="false" customHeight="true" outlineLevel="0" collapsed="false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</row>
    <row r="142" customFormat="false" ht="15.75" hidden="false" customHeight="true" outlineLevel="0" collapsed="false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</row>
    <row r="143" customFormat="false" ht="15.75" hidden="false" customHeight="true" outlineLevel="0" collapsed="false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</row>
    <row r="144" customFormat="false" ht="15.75" hidden="false" customHeight="true" outlineLevel="0" collapsed="false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</row>
    <row r="145" customFormat="false" ht="15.75" hidden="false" customHeight="true" outlineLevel="0" collapsed="false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</row>
    <row r="146" customFormat="false" ht="15.75" hidden="false" customHeight="true" outlineLevel="0" collapsed="false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</row>
    <row r="147" customFormat="false" ht="15.75" hidden="false" customHeight="true" outlineLevel="0" collapsed="false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</row>
    <row r="148" customFormat="false" ht="15.75" hidden="false" customHeight="true" outlineLevel="0" collapsed="false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</row>
    <row r="149" customFormat="false" ht="15.75" hidden="false" customHeight="true" outlineLevel="0" collapsed="false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</row>
    <row r="150" customFormat="false" ht="15.75" hidden="false" customHeight="true" outlineLevel="0" collapsed="false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</row>
    <row r="151" customFormat="false" ht="15.75" hidden="false" customHeight="true" outlineLevel="0" collapsed="false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</row>
    <row r="152" customFormat="false" ht="15.75" hidden="false" customHeight="true" outlineLevel="0" collapsed="false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</row>
    <row r="153" customFormat="false" ht="15.75" hidden="false" customHeight="true" outlineLevel="0" collapsed="false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</row>
    <row r="154" customFormat="false" ht="15.75" hidden="false" customHeight="true" outlineLevel="0" collapsed="false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</row>
    <row r="155" customFormat="false" ht="15.75" hidden="false" customHeight="true" outlineLevel="0" collapsed="false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</row>
    <row r="156" customFormat="false" ht="15.75" hidden="false" customHeight="true" outlineLevel="0" collapsed="false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</row>
    <row r="157" customFormat="false" ht="15.75" hidden="false" customHeight="true" outlineLevel="0" collapsed="false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</row>
    <row r="158" customFormat="false" ht="15.75" hidden="false" customHeight="true" outlineLevel="0" collapsed="false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</row>
    <row r="159" customFormat="false" ht="15.75" hidden="false" customHeight="true" outlineLevel="0" collapsed="false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</row>
    <row r="160" customFormat="false" ht="15.75" hidden="false" customHeight="true" outlineLevel="0" collapsed="false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</row>
    <row r="161" customFormat="false" ht="15.75" hidden="false" customHeight="true" outlineLevel="0" collapsed="false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</row>
    <row r="162" customFormat="false" ht="15.75" hidden="false" customHeight="true" outlineLevel="0" collapsed="false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</row>
    <row r="163" customFormat="false" ht="15.75" hidden="false" customHeight="true" outlineLevel="0" collapsed="false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</row>
    <row r="164" customFormat="false" ht="15.75" hidden="false" customHeight="true" outlineLevel="0" collapsed="false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</row>
    <row r="165" customFormat="false" ht="15.75" hidden="false" customHeight="true" outlineLevel="0" collapsed="false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</row>
    <row r="166" customFormat="false" ht="15.75" hidden="false" customHeight="true" outlineLevel="0" collapsed="false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</row>
    <row r="167" customFormat="false" ht="15.75" hidden="false" customHeight="true" outlineLevel="0" collapsed="false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</row>
    <row r="168" customFormat="false" ht="15.75" hidden="false" customHeight="true" outlineLevel="0" collapsed="false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</row>
    <row r="169" customFormat="false" ht="15.75" hidden="false" customHeight="true" outlineLevel="0" collapsed="false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</row>
    <row r="170" customFormat="false" ht="15.75" hidden="false" customHeight="true" outlineLevel="0" collapsed="false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</row>
    <row r="171" customFormat="false" ht="15.75" hidden="false" customHeight="true" outlineLevel="0" collapsed="false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</row>
    <row r="172" customFormat="false" ht="15.75" hidden="false" customHeight="true" outlineLevel="0" collapsed="false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</row>
    <row r="173" customFormat="false" ht="15.75" hidden="false" customHeight="true" outlineLevel="0" collapsed="false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</row>
    <row r="174" customFormat="false" ht="15.75" hidden="false" customHeight="true" outlineLevel="0" collapsed="false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</row>
    <row r="175" customFormat="false" ht="15.75" hidden="false" customHeight="true" outlineLevel="0" collapsed="false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</row>
    <row r="176" customFormat="false" ht="15.75" hidden="false" customHeight="true" outlineLevel="0" collapsed="false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</row>
    <row r="177" customFormat="false" ht="15.75" hidden="false" customHeight="true" outlineLevel="0" collapsed="false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</row>
    <row r="178" customFormat="false" ht="15.75" hidden="false" customHeight="true" outlineLevel="0" collapsed="false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</row>
    <row r="179" customFormat="false" ht="15.75" hidden="false" customHeight="true" outlineLevel="0" collapsed="false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</row>
    <row r="180" customFormat="false" ht="15.75" hidden="false" customHeight="true" outlineLevel="0" collapsed="false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</row>
    <row r="181" customFormat="false" ht="15.75" hidden="false" customHeight="true" outlineLevel="0" collapsed="false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</row>
    <row r="182" customFormat="false" ht="15.75" hidden="false" customHeight="true" outlineLevel="0" collapsed="false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</row>
    <row r="183" customFormat="false" ht="15.75" hidden="false" customHeight="true" outlineLevel="0" collapsed="false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</row>
    <row r="184" customFormat="false" ht="15.75" hidden="false" customHeight="true" outlineLevel="0" collapsed="false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</row>
    <row r="185" customFormat="false" ht="15.75" hidden="false" customHeight="true" outlineLevel="0" collapsed="false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</row>
    <row r="186" customFormat="false" ht="15.75" hidden="false" customHeight="true" outlineLevel="0" collapsed="false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</row>
    <row r="187" customFormat="false" ht="15.75" hidden="false" customHeight="true" outlineLevel="0" collapsed="false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</row>
    <row r="188" customFormat="false" ht="15.75" hidden="false" customHeight="true" outlineLevel="0" collapsed="false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</row>
    <row r="189" customFormat="false" ht="15.75" hidden="false" customHeight="true" outlineLevel="0" collapsed="false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</row>
    <row r="190" customFormat="false" ht="15.75" hidden="false" customHeight="true" outlineLevel="0" collapsed="false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</row>
    <row r="191" customFormat="false" ht="15.75" hidden="false" customHeight="true" outlineLevel="0" collapsed="false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</row>
    <row r="192" customFormat="false" ht="15.75" hidden="false" customHeight="true" outlineLevel="0" collapsed="false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</row>
    <row r="193" customFormat="false" ht="15.75" hidden="false" customHeight="true" outlineLevel="0" collapsed="false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</row>
    <row r="194" customFormat="false" ht="15.75" hidden="false" customHeight="true" outlineLevel="0" collapsed="false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</row>
    <row r="195" customFormat="false" ht="15.75" hidden="false" customHeight="true" outlineLevel="0" collapsed="false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</row>
    <row r="196" customFormat="false" ht="15.75" hidden="false" customHeight="true" outlineLevel="0" collapsed="false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</row>
    <row r="197" customFormat="false" ht="15.75" hidden="false" customHeight="true" outlineLevel="0" collapsed="false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</row>
    <row r="198" customFormat="false" ht="15.75" hidden="false" customHeight="true" outlineLevel="0" collapsed="false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</row>
    <row r="199" customFormat="false" ht="15.75" hidden="false" customHeight="true" outlineLevel="0" collapsed="false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</row>
    <row r="200" customFormat="false" ht="15.75" hidden="false" customHeight="true" outlineLevel="0" collapsed="false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</row>
    <row r="201" customFormat="false" ht="15.75" hidden="false" customHeight="true" outlineLevel="0" collapsed="false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</row>
    <row r="202" customFormat="false" ht="15.75" hidden="false" customHeight="true" outlineLevel="0" collapsed="false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</row>
    <row r="203" customFormat="false" ht="15.75" hidden="false" customHeight="true" outlineLevel="0" collapsed="false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</row>
    <row r="204" customFormat="false" ht="15.75" hidden="false" customHeight="true" outlineLevel="0" collapsed="false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</row>
    <row r="205" customFormat="false" ht="15.75" hidden="false" customHeight="true" outlineLevel="0" collapsed="false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</row>
    <row r="206" customFormat="false" ht="15.75" hidden="false" customHeight="true" outlineLevel="0" collapsed="false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</row>
    <row r="207" customFormat="false" ht="15.75" hidden="false" customHeight="true" outlineLevel="0" collapsed="false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</row>
    <row r="208" customFormat="false" ht="15.75" hidden="false" customHeight="true" outlineLevel="0" collapsed="false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</row>
    <row r="209" customFormat="false" ht="15.75" hidden="false" customHeight="true" outlineLevel="0" collapsed="false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</row>
    <row r="210" customFormat="false" ht="15.75" hidden="false" customHeight="true" outlineLevel="0" collapsed="false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</row>
    <row r="211" customFormat="false" ht="15.75" hidden="false" customHeight="true" outlineLevel="0" collapsed="false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</row>
    <row r="212" customFormat="false" ht="15.75" hidden="false" customHeight="true" outlineLevel="0" collapsed="false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</row>
    <row r="213" customFormat="false" ht="15.75" hidden="false" customHeight="true" outlineLevel="0" collapsed="false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</row>
    <row r="214" customFormat="false" ht="15.75" hidden="false" customHeight="true" outlineLevel="0" collapsed="false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</row>
    <row r="215" customFormat="false" ht="15.75" hidden="false" customHeight="true" outlineLevel="0" collapsed="false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</row>
    <row r="216" customFormat="false" ht="15.75" hidden="false" customHeight="true" outlineLevel="0" collapsed="false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</row>
    <row r="217" customFormat="false" ht="15.75" hidden="false" customHeight="true" outlineLevel="0" collapsed="false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</row>
    <row r="218" customFormat="false" ht="15.75" hidden="false" customHeight="true" outlineLevel="0" collapsed="false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</row>
    <row r="219" customFormat="false" ht="15.75" hidden="false" customHeight="true" outlineLevel="0" collapsed="false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</row>
    <row r="220" customFormat="false" ht="15.75" hidden="false" customHeight="true" outlineLevel="0" collapsed="false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</row>
    <row r="221" customFormat="false" ht="15.75" hidden="false" customHeight="true" outlineLevel="0" collapsed="false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</row>
    <row r="222" customFormat="false" ht="15.75" hidden="false" customHeight="true" outlineLevel="0" collapsed="false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</row>
    <row r="223" customFormat="false" ht="15.75" hidden="false" customHeight="true" outlineLevel="0" collapsed="false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</row>
    <row r="224" customFormat="false" ht="15.75" hidden="false" customHeight="true" outlineLevel="0" collapsed="false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</row>
    <row r="225" customFormat="false" ht="15.75" hidden="false" customHeight="true" outlineLevel="0" collapsed="false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</row>
    <row r="226" customFormat="false" ht="15.75" hidden="false" customHeight="true" outlineLevel="0" collapsed="false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</row>
    <row r="227" customFormat="false" ht="15.75" hidden="false" customHeight="true" outlineLevel="0" collapsed="false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</row>
    <row r="228" customFormat="false" ht="15.75" hidden="false" customHeight="true" outlineLevel="0" collapsed="false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</row>
    <row r="229" customFormat="false" ht="15.75" hidden="false" customHeight="true" outlineLevel="0" collapsed="false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</row>
    <row r="230" customFormat="false" ht="15.75" hidden="false" customHeight="true" outlineLevel="0" collapsed="false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</row>
    <row r="231" customFormat="false" ht="15.75" hidden="false" customHeight="true" outlineLevel="0" collapsed="false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</row>
    <row r="232" customFormat="false" ht="15.75" hidden="false" customHeight="true" outlineLevel="0" collapsed="false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</row>
    <row r="233" customFormat="false" ht="15.75" hidden="false" customHeight="true" outlineLevel="0" collapsed="false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</row>
    <row r="234" customFormat="false" ht="15.75" hidden="false" customHeight="true" outlineLevel="0" collapsed="false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</row>
    <row r="235" customFormat="false" ht="15.75" hidden="false" customHeight="true" outlineLevel="0" collapsed="false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</row>
    <row r="236" customFormat="false" ht="15.75" hidden="false" customHeight="true" outlineLevel="0" collapsed="false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</row>
    <row r="237" customFormat="false" ht="15.75" hidden="false" customHeight="true" outlineLevel="0" collapsed="false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</row>
    <row r="238" customFormat="false" ht="15.75" hidden="false" customHeight="true" outlineLevel="0" collapsed="false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</row>
    <row r="239" customFormat="false" ht="15.75" hidden="false" customHeight="true" outlineLevel="0" collapsed="false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</row>
    <row r="240" customFormat="false" ht="15.75" hidden="false" customHeight="true" outlineLevel="0" collapsed="false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</row>
    <row r="241" customFormat="false" ht="15.75" hidden="false" customHeight="true" outlineLevel="0" collapsed="false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</row>
    <row r="242" customFormat="false" ht="15.75" hidden="false" customHeight="true" outlineLevel="0" collapsed="false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</row>
    <row r="243" customFormat="false" ht="15.75" hidden="false" customHeight="true" outlineLevel="0" collapsed="false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</row>
    <row r="244" customFormat="false" ht="15.75" hidden="false" customHeight="true" outlineLevel="0" collapsed="false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</row>
    <row r="245" customFormat="false" ht="15.75" hidden="false" customHeight="true" outlineLevel="0" collapsed="false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</row>
    <row r="246" customFormat="false" ht="15.75" hidden="false" customHeight="true" outlineLevel="0" collapsed="false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</row>
    <row r="247" customFormat="false" ht="15.75" hidden="false" customHeight="true" outlineLevel="0" collapsed="false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</row>
    <row r="248" customFormat="false" ht="15.75" hidden="false" customHeight="true" outlineLevel="0" collapsed="false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</row>
    <row r="249" customFormat="false" ht="15.75" hidden="false" customHeight="true" outlineLevel="0" collapsed="false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</row>
    <row r="250" customFormat="false" ht="15.75" hidden="false" customHeight="true" outlineLevel="0" collapsed="false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</row>
    <row r="251" customFormat="false" ht="15.75" hidden="false" customHeight="true" outlineLevel="0" collapsed="false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</row>
    <row r="252" customFormat="false" ht="15.75" hidden="false" customHeight="true" outlineLevel="0" collapsed="false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</row>
    <row r="253" customFormat="false" ht="15.75" hidden="false" customHeight="true" outlineLevel="0" collapsed="false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</row>
    <row r="254" customFormat="false" ht="15.75" hidden="false" customHeight="true" outlineLevel="0" collapsed="false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</row>
    <row r="255" customFormat="false" ht="15.75" hidden="false" customHeight="true" outlineLevel="0" collapsed="false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</row>
    <row r="256" customFormat="false" ht="15.75" hidden="false" customHeight="true" outlineLevel="0" collapsed="false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</row>
    <row r="257" customFormat="false" ht="15.75" hidden="false" customHeight="true" outlineLevel="0" collapsed="false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</row>
    <row r="258" customFormat="false" ht="15.75" hidden="false" customHeight="true" outlineLevel="0" collapsed="false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</row>
    <row r="259" customFormat="false" ht="15.75" hidden="false" customHeight="true" outlineLevel="0" collapsed="false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</row>
    <row r="260" customFormat="false" ht="15.75" hidden="false" customHeight="true" outlineLevel="0" collapsed="false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</row>
    <row r="261" customFormat="false" ht="15.75" hidden="false" customHeight="true" outlineLevel="0" collapsed="false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</row>
    <row r="262" customFormat="false" ht="15.75" hidden="false" customHeight="true" outlineLevel="0" collapsed="false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</row>
    <row r="263" customFormat="false" ht="15.75" hidden="false" customHeight="true" outlineLevel="0" collapsed="false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</row>
    <row r="264" customFormat="false" ht="15.75" hidden="false" customHeight="true" outlineLevel="0" collapsed="false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</row>
    <row r="265" customFormat="false" ht="15.75" hidden="false" customHeight="true" outlineLevel="0" collapsed="false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</row>
    <row r="266" customFormat="false" ht="15.75" hidden="false" customHeight="true" outlineLevel="0" collapsed="false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</row>
    <row r="267" customFormat="false" ht="15.75" hidden="false" customHeight="true" outlineLevel="0" collapsed="false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</row>
    <row r="268" customFormat="false" ht="15.75" hidden="false" customHeight="true" outlineLevel="0" collapsed="false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</row>
    <row r="269" customFormat="false" ht="15.75" hidden="false" customHeight="true" outlineLevel="0" collapsed="false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</row>
    <row r="270" customFormat="false" ht="15.75" hidden="false" customHeight="true" outlineLevel="0" collapsed="false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</row>
    <row r="271" customFormat="false" ht="15.75" hidden="false" customHeight="true" outlineLevel="0" collapsed="false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</row>
    <row r="272" customFormat="false" ht="15.75" hidden="false" customHeight="true" outlineLevel="0" collapsed="false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</row>
    <row r="273" customFormat="false" ht="15.75" hidden="false" customHeight="true" outlineLevel="0" collapsed="false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</row>
    <row r="274" customFormat="false" ht="15.75" hidden="false" customHeight="true" outlineLevel="0" collapsed="false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</row>
    <row r="275" customFormat="false" ht="15.75" hidden="false" customHeight="true" outlineLevel="0" collapsed="false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</row>
    <row r="276" customFormat="false" ht="15.75" hidden="false" customHeight="true" outlineLevel="0" collapsed="false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</row>
    <row r="277" customFormat="false" ht="15.75" hidden="false" customHeight="true" outlineLevel="0" collapsed="false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</row>
    <row r="278" customFormat="false" ht="15.75" hidden="false" customHeight="true" outlineLevel="0" collapsed="false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</row>
    <row r="279" customFormat="false" ht="15.75" hidden="false" customHeight="true" outlineLevel="0" collapsed="false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</row>
    <row r="280" customFormat="false" ht="15.75" hidden="false" customHeight="true" outlineLevel="0" collapsed="false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</row>
    <row r="281" customFormat="false" ht="15.75" hidden="false" customHeight="true" outlineLevel="0" collapsed="false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</row>
    <row r="282" customFormat="false" ht="15.75" hidden="false" customHeight="true" outlineLevel="0" collapsed="false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</row>
    <row r="283" customFormat="false" ht="15.75" hidden="false" customHeight="true" outlineLevel="0" collapsed="false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</row>
    <row r="284" customFormat="false" ht="15.75" hidden="false" customHeight="true" outlineLevel="0" collapsed="false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</row>
    <row r="285" customFormat="false" ht="15.75" hidden="false" customHeight="true" outlineLevel="0" collapsed="false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</row>
    <row r="286" customFormat="false" ht="15.75" hidden="false" customHeight="true" outlineLevel="0" collapsed="false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</row>
    <row r="287" customFormat="false" ht="15.75" hidden="false" customHeight="true" outlineLevel="0" collapsed="false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</row>
    <row r="288" customFormat="false" ht="15.75" hidden="false" customHeight="true" outlineLevel="0" collapsed="false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</row>
    <row r="289" customFormat="false" ht="15.75" hidden="false" customHeight="true" outlineLevel="0" collapsed="false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</row>
    <row r="290" customFormat="false" ht="15.75" hidden="false" customHeight="true" outlineLevel="0" collapsed="false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</row>
    <row r="291" customFormat="false" ht="15.75" hidden="false" customHeight="true" outlineLevel="0" collapsed="false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</row>
    <row r="292" customFormat="false" ht="15.75" hidden="false" customHeight="true" outlineLevel="0" collapsed="false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</row>
    <row r="293" customFormat="false" ht="15.75" hidden="false" customHeight="true" outlineLevel="0" collapsed="false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</row>
    <row r="294" customFormat="false" ht="15.75" hidden="false" customHeight="true" outlineLevel="0" collapsed="false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</row>
    <row r="295" customFormat="false" ht="15.75" hidden="false" customHeight="true" outlineLevel="0" collapsed="false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</row>
    <row r="296" customFormat="false" ht="15.75" hidden="false" customHeight="true" outlineLevel="0" collapsed="false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</row>
    <row r="297" customFormat="false" ht="15.75" hidden="false" customHeight="true" outlineLevel="0" collapsed="false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</row>
    <row r="298" customFormat="false" ht="15.75" hidden="false" customHeight="true" outlineLevel="0" collapsed="false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</row>
    <row r="299" customFormat="false" ht="15.75" hidden="false" customHeight="true" outlineLevel="0" collapsed="false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</row>
    <row r="300" customFormat="false" ht="15.75" hidden="false" customHeight="true" outlineLevel="0" collapsed="false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</row>
    <row r="301" customFormat="false" ht="15.75" hidden="false" customHeight="true" outlineLevel="0" collapsed="false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</row>
    <row r="302" customFormat="false" ht="15.75" hidden="false" customHeight="true" outlineLevel="0" collapsed="false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</row>
    <row r="303" customFormat="false" ht="15.75" hidden="false" customHeight="true" outlineLevel="0" collapsed="false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</row>
    <row r="304" customFormat="false" ht="15.75" hidden="false" customHeight="true" outlineLevel="0" collapsed="false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</row>
    <row r="305" customFormat="false" ht="15.75" hidden="false" customHeight="true" outlineLevel="0" collapsed="false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</row>
    <row r="306" customFormat="false" ht="15.75" hidden="false" customHeight="true" outlineLevel="0" collapsed="false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</row>
    <row r="307" customFormat="false" ht="15.75" hidden="false" customHeight="true" outlineLevel="0" collapsed="false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</row>
    <row r="308" customFormat="false" ht="15.75" hidden="false" customHeight="true" outlineLevel="0" collapsed="false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</row>
    <row r="309" customFormat="false" ht="15.75" hidden="false" customHeight="true" outlineLevel="0" collapsed="false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</row>
    <row r="310" customFormat="false" ht="15.75" hidden="false" customHeight="true" outlineLevel="0" collapsed="false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</row>
    <row r="311" customFormat="false" ht="15.75" hidden="false" customHeight="true" outlineLevel="0" collapsed="false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</row>
    <row r="312" customFormat="false" ht="15.75" hidden="false" customHeight="true" outlineLevel="0" collapsed="false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</row>
    <row r="313" customFormat="false" ht="15.75" hidden="false" customHeight="true" outlineLevel="0" collapsed="false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</row>
    <row r="314" customFormat="false" ht="15.75" hidden="false" customHeight="true" outlineLevel="0" collapsed="false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</row>
    <row r="315" customFormat="false" ht="15.75" hidden="false" customHeight="true" outlineLevel="0" collapsed="false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</row>
    <row r="316" customFormat="false" ht="15.75" hidden="false" customHeight="true" outlineLevel="0" collapsed="false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</row>
    <row r="317" customFormat="false" ht="15.75" hidden="false" customHeight="true" outlineLevel="0" collapsed="false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</row>
    <row r="318" customFormat="false" ht="15.75" hidden="false" customHeight="true" outlineLevel="0" collapsed="false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</row>
    <row r="319" customFormat="false" ht="15.75" hidden="false" customHeight="true" outlineLevel="0" collapsed="false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</row>
    <row r="320" customFormat="false" ht="15.75" hidden="false" customHeight="true" outlineLevel="0" collapsed="false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</row>
    <row r="321" customFormat="false" ht="15.75" hidden="false" customHeight="true" outlineLevel="0" collapsed="false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</row>
    <row r="322" customFormat="false" ht="15.75" hidden="false" customHeight="true" outlineLevel="0" collapsed="false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</row>
    <row r="323" customFormat="false" ht="15.75" hidden="false" customHeight="true" outlineLevel="0" collapsed="false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</row>
    <row r="324" customFormat="false" ht="15.75" hidden="false" customHeight="true" outlineLevel="0" collapsed="false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</row>
    <row r="325" customFormat="false" ht="15.75" hidden="false" customHeight="true" outlineLevel="0" collapsed="false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</row>
    <row r="326" customFormat="false" ht="15.75" hidden="false" customHeight="true" outlineLevel="0" collapsed="false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</row>
    <row r="327" customFormat="false" ht="15.75" hidden="false" customHeight="true" outlineLevel="0" collapsed="false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</row>
    <row r="328" customFormat="false" ht="15.75" hidden="false" customHeight="true" outlineLevel="0" collapsed="false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</row>
    <row r="329" customFormat="false" ht="15.75" hidden="false" customHeight="true" outlineLevel="0" collapsed="false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</row>
    <row r="330" customFormat="false" ht="15.75" hidden="false" customHeight="true" outlineLevel="0" collapsed="false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</row>
    <row r="331" customFormat="false" ht="15.75" hidden="false" customHeight="true" outlineLevel="0" collapsed="false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</row>
    <row r="332" customFormat="false" ht="15.75" hidden="false" customHeight="true" outlineLevel="0" collapsed="false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</row>
    <row r="333" customFormat="false" ht="15.75" hidden="false" customHeight="true" outlineLevel="0" collapsed="false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</row>
    <row r="334" customFormat="false" ht="15.75" hidden="false" customHeight="true" outlineLevel="0" collapsed="false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</row>
    <row r="335" customFormat="false" ht="15.75" hidden="false" customHeight="true" outlineLevel="0" collapsed="false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</row>
    <row r="336" customFormat="false" ht="15.75" hidden="false" customHeight="true" outlineLevel="0" collapsed="false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</row>
    <row r="337" customFormat="false" ht="15.75" hidden="false" customHeight="true" outlineLevel="0" collapsed="false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</row>
    <row r="338" customFormat="false" ht="15.75" hidden="false" customHeight="true" outlineLevel="0" collapsed="false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</row>
    <row r="339" customFormat="false" ht="15.75" hidden="false" customHeight="true" outlineLevel="0" collapsed="false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</row>
    <row r="340" customFormat="false" ht="15.75" hidden="false" customHeight="true" outlineLevel="0" collapsed="false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</row>
    <row r="341" customFormat="false" ht="15.75" hidden="false" customHeight="true" outlineLevel="0" collapsed="false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</row>
    <row r="342" customFormat="false" ht="15.75" hidden="false" customHeight="true" outlineLevel="0" collapsed="false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</row>
    <row r="343" customFormat="false" ht="15.75" hidden="false" customHeight="true" outlineLevel="0" collapsed="false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</row>
    <row r="344" customFormat="false" ht="15.75" hidden="false" customHeight="true" outlineLevel="0" collapsed="false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</row>
    <row r="345" customFormat="false" ht="15.75" hidden="false" customHeight="true" outlineLevel="0" collapsed="false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</row>
    <row r="346" customFormat="false" ht="15.75" hidden="false" customHeight="true" outlineLevel="0" collapsed="false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</row>
    <row r="347" customFormat="false" ht="15.75" hidden="false" customHeight="true" outlineLevel="0" collapsed="false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</row>
    <row r="348" customFormat="false" ht="15.75" hidden="false" customHeight="true" outlineLevel="0" collapsed="false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</row>
    <row r="349" customFormat="false" ht="15.75" hidden="false" customHeight="true" outlineLevel="0" collapsed="false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</row>
    <row r="350" customFormat="false" ht="15.75" hidden="false" customHeight="true" outlineLevel="0" collapsed="false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</row>
    <row r="351" customFormat="false" ht="15.75" hidden="false" customHeight="true" outlineLevel="0" collapsed="false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</row>
    <row r="352" customFormat="false" ht="15.75" hidden="false" customHeight="true" outlineLevel="0" collapsed="false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</row>
    <row r="353" customFormat="false" ht="15.75" hidden="false" customHeight="true" outlineLevel="0" collapsed="false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</row>
    <row r="354" customFormat="false" ht="15.75" hidden="false" customHeight="true" outlineLevel="0" collapsed="false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</row>
    <row r="355" customFormat="false" ht="15.75" hidden="false" customHeight="true" outlineLevel="0" collapsed="false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</row>
    <row r="356" customFormat="false" ht="15.75" hidden="false" customHeight="true" outlineLevel="0" collapsed="false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</row>
    <row r="357" customFormat="false" ht="15.75" hidden="false" customHeight="true" outlineLevel="0" collapsed="false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</row>
    <row r="358" customFormat="false" ht="15.75" hidden="false" customHeight="true" outlineLevel="0" collapsed="false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</row>
    <row r="359" customFormat="false" ht="15.75" hidden="false" customHeight="true" outlineLevel="0" collapsed="false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</row>
    <row r="360" customFormat="false" ht="15.75" hidden="false" customHeight="true" outlineLevel="0" collapsed="false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</row>
    <row r="361" customFormat="false" ht="15.75" hidden="false" customHeight="true" outlineLevel="0" collapsed="false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</row>
    <row r="362" customFormat="false" ht="15.75" hidden="false" customHeight="true" outlineLevel="0" collapsed="false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</row>
    <row r="363" customFormat="false" ht="15.75" hidden="false" customHeight="true" outlineLevel="0" collapsed="false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</row>
    <row r="364" customFormat="false" ht="15.75" hidden="false" customHeight="true" outlineLevel="0" collapsed="false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</row>
    <row r="365" customFormat="false" ht="15.75" hidden="false" customHeight="true" outlineLevel="0" collapsed="false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</row>
    <row r="366" customFormat="false" ht="15.75" hidden="false" customHeight="true" outlineLevel="0" collapsed="false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</row>
    <row r="367" customFormat="false" ht="15.75" hidden="false" customHeight="true" outlineLevel="0" collapsed="false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</row>
    <row r="368" customFormat="false" ht="15.75" hidden="false" customHeight="true" outlineLevel="0" collapsed="false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</row>
    <row r="369" customFormat="false" ht="15.75" hidden="false" customHeight="true" outlineLevel="0" collapsed="false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</row>
    <row r="370" customFormat="false" ht="15.75" hidden="false" customHeight="true" outlineLevel="0" collapsed="false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</row>
    <row r="371" customFormat="false" ht="15.75" hidden="false" customHeight="true" outlineLevel="0" collapsed="false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</row>
    <row r="372" customFormat="false" ht="15.75" hidden="false" customHeight="true" outlineLevel="0" collapsed="false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</row>
    <row r="373" customFormat="false" ht="15.75" hidden="false" customHeight="true" outlineLevel="0" collapsed="false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</row>
    <row r="374" customFormat="false" ht="15.75" hidden="false" customHeight="true" outlineLevel="0" collapsed="false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</row>
    <row r="375" customFormat="false" ht="15.75" hidden="false" customHeight="true" outlineLevel="0" collapsed="false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</row>
    <row r="376" customFormat="false" ht="15.75" hidden="false" customHeight="true" outlineLevel="0" collapsed="false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</row>
    <row r="377" customFormat="false" ht="15.75" hidden="false" customHeight="true" outlineLevel="0" collapsed="false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</row>
    <row r="378" customFormat="false" ht="15.75" hidden="false" customHeight="true" outlineLevel="0" collapsed="false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</row>
    <row r="379" customFormat="false" ht="15.75" hidden="false" customHeight="true" outlineLevel="0" collapsed="false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</row>
    <row r="380" customFormat="false" ht="15.75" hidden="false" customHeight="true" outlineLevel="0" collapsed="false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</row>
    <row r="381" customFormat="false" ht="15.75" hidden="false" customHeight="true" outlineLevel="0" collapsed="false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</row>
    <row r="382" customFormat="false" ht="15.75" hidden="false" customHeight="true" outlineLevel="0" collapsed="false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</row>
    <row r="383" customFormat="false" ht="15.75" hidden="false" customHeight="true" outlineLevel="0" collapsed="false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</row>
    <row r="384" customFormat="false" ht="15.75" hidden="false" customHeight="true" outlineLevel="0" collapsed="false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</row>
    <row r="385" customFormat="false" ht="15.75" hidden="false" customHeight="true" outlineLevel="0" collapsed="false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</row>
    <row r="386" customFormat="false" ht="15.75" hidden="false" customHeight="true" outlineLevel="0" collapsed="false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</row>
    <row r="387" customFormat="false" ht="15.75" hidden="false" customHeight="true" outlineLevel="0" collapsed="false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</row>
    <row r="388" customFormat="false" ht="15.75" hidden="false" customHeight="true" outlineLevel="0" collapsed="false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</row>
    <row r="389" customFormat="false" ht="15.75" hidden="false" customHeight="true" outlineLevel="0" collapsed="false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</row>
    <row r="390" customFormat="false" ht="15.75" hidden="false" customHeight="true" outlineLevel="0" collapsed="false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</row>
    <row r="391" customFormat="false" ht="15.75" hidden="false" customHeight="true" outlineLevel="0" collapsed="false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</row>
    <row r="392" customFormat="false" ht="15.75" hidden="false" customHeight="true" outlineLevel="0" collapsed="false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</row>
    <row r="393" customFormat="false" ht="15.75" hidden="false" customHeight="true" outlineLevel="0" collapsed="false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</row>
    <row r="394" customFormat="false" ht="15.75" hidden="false" customHeight="true" outlineLevel="0" collapsed="false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</row>
    <row r="395" customFormat="false" ht="15.75" hidden="false" customHeight="true" outlineLevel="0" collapsed="false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</row>
    <row r="396" customFormat="false" ht="15.75" hidden="false" customHeight="true" outlineLevel="0" collapsed="false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</row>
    <row r="397" customFormat="false" ht="15.75" hidden="false" customHeight="true" outlineLevel="0" collapsed="false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</row>
    <row r="398" customFormat="false" ht="15.75" hidden="false" customHeight="true" outlineLevel="0" collapsed="false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</row>
    <row r="399" customFormat="false" ht="15.75" hidden="false" customHeight="true" outlineLevel="0" collapsed="false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</row>
    <row r="400" customFormat="false" ht="15.75" hidden="false" customHeight="true" outlineLevel="0" collapsed="false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</row>
    <row r="401" customFormat="false" ht="15.75" hidden="false" customHeight="true" outlineLevel="0" collapsed="false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</row>
    <row r="402" customFormat="false" ht="15.75" hidden="false" customHeight="true" outlineLevel="0" collapsed="false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</row>
    <row r="403" customFormat="false" ht="15.75" hidden="false" customHeight="true" outlineLevel="0" collapsed="false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</row>
    <row r="404" customFormat="false" ht="15.75" hidden="false" customHeight="true" outlineLevel="0" collapsed="false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</row>
    <row r="405" customFormat="false" ht="15.75" hidden="false" customHeight="true" outlineLevel="0" collapsed="false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</row>
    <row r="406" customFormat="false" ht="15.75" hidden="false" customHeight="true" outlineLevel="0" collapsed="false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</row>
    <row r="407" customFormat="false" ht="15.75" hidden="false" customHeight="true" outlineLevel="0" collapsed="false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</row>
    <row r="408" customFormat="false" ht="15.75" hidden="false" customHeight="true" outlineLevel="0" collapsed="false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</row>
    <row r="409" customFormat="false" ht="15.75" hidden="false" customHeight="true" outlineLevel="0" collapsed="false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</row>
    <row r="410" customFormat="false" ht="15.75" hidden="false" customHeight="true" outlineLevel="0" collapsed="false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</row>
    <row r="411" customFormat="false" ht="15.75" hidden="false" customHeight="true" outlineLevel="0" collapsed="false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</row>
    <row r="412" customFormat="false" ht="15.75" hidden="false" customHeight="true" outlineLevel="0" collapsed="false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</row>
    <row r="413" customFormat="false" ht="15.75" hidden="false" customHeight="true" outlineLevel="0" collapsed="false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</row>
    <row r="414" customFormat="false" ht="15.75" hidden="false" customHeight="true" outlineLevel="0" collapsed="false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</row>
    <row r="415" customFormat="false" ht="15.75" hidden="false" customHeight="true" outlineLevel="0" collapsed="false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</row>
    <row r="416" customFormat="false" ht="15.75" hidden="false" customHeight="true" outlineLevel="0" collapsed="false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</row>
    <row r="417" customFormat="false" ht="15.75" hidden="false" customHeight="true" outlineLevel="0" collapsed="false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</row>
    <row r="418" customFormat="false" ht="15.75" hidden="false" customHeight="true" outlineLevel="0" collapsed="false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</row>
    <row r="419" customFormat="false" ht="15.75" hidden="false" customHeight="true" outlineLevel="0" collapsed="false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</row>
    <row r="420" customFormat="false" ht="15.75" hidden="false" customHeight="true" outlineLevel="0" collapsed="false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</row>
    <row r="421" customFormat="false" ht="15.75" hidden="false" customHeight="true" outlineLevel="0" collapsed="false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</row>
    <row r="422" customFormat="false" ht="15.75" hidden="false" customHeight="true" outlineLevel="0" collapsed="false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</row>
    <row r="423" customFormat="false" ht="15.75" hidden="false" customHeight="true" outlineLevel="0" collapsed="false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</row>
    <row r="424" customFormat="false" ht="15.75" hidden="false" customHeight="true" outlineLevel="0" collapsed="false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</row>
    <row r="425" customFormat="false" ht="15.75" hidden="false" customHeight="true" outlineLevel="0" collapsed="false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</row>
    <row r="426" customFormat="false" ht="15.75" hidden="false" customHeight="true" outlineLevel="0" collapsed="false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</row>
    <row r="427" customFormat="false" ht="15.75" hidden="false" customHeight="true" outlineLevel="0" collapsed="false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</row>
    <row r="428" customFormat="false" ht="15.75" hidden="false" customHeight="true" outlineLevel="0" collapsed="false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</row>
    <row r="429" customFormat="false" ht="15.75" hidden="false" customHeight="true" outlineLevel="0" collapsed="false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</row>
    <row r="430" customFormat="false" ht="15.75" hidden="false" customHeight="true" outlineLevel="0" collapsed="false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</row>
    <row r="431" customFormat="false" ht="15.75" hidden="false" customHeight="true" outlineLevel="0" collapsed="false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</row>
    <row r="432" customFormat="false" ht="15.75" hidden="false" customHeight="true" outlineLevel="0" collapsed="false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</row>
    <row r="433" customFormat="false" ht="15.75" hidden="false" customHeight="true" outlineLevel="0" collapsed="false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</row>
    <row r="434" customFormat="false" ht="15.75" hidden="false" customHeight="true" outlineLevel="0" collapsed="false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</row>
    <row r="435" customFormat="false" ht="15.75" hidden="false" customHeight="true" outlineLevel="0" collapsed="false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</row>
    <row r="436" customFormat="false" ht="15.75" hidden="false" customHeight="true" outlineLevel="0" collapsed="false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</row>
    <row r="437" customFormat="false" ht="15.75" hidden="false" customHeight="true" outlineLevel="0" collapsed="false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</row>
    <row r="438" customFormat="false" ht="15.75" hidden="false" customHeight="true" outlineLevel="0" collapsed="false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</row>
    <row r="439" customFormat="false" ht="15.75" hidden="false" customHeight="true" outlineLevel="0" collapsed="false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</row>
    <row r="440" customFormat="false" ht="15.75" hidden="false" customHeight="true" outlineLevel="0" collapsed="false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</row>
    <row r="441" customFormat="false" ht="15.75" hidden="false" customHeight="true" outlineLevel="0" collapsed="false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</row>
    <row r="442" customFormat="false" ht="15.75" hidden="false" customHeight="true" outlineLevel="0" collapsed="false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</row>
    <row r="443" customFormat="false" ht="15.75" hidden="false" customHeight="true" outlineLevel="0" collapsed="false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</row>
    <row r="444" customFormat="false" ht="15.75" hidden="false" customHeight="true" outlineLevel="0" collapsed="false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</row>
    <row r="445" customFormat="false" ht="15.75" hidden="false" customHeight="true" outlineLevel="0" collapsed="false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</row>
    <row r="446" customFormat="false" ht="15.75" hidden="false" customHeight="true" outlineLevel="0" collapsed="false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</row>
    <row r="447" customFormat="false" ht="15.75" hidden="false" customHeight="true" outlineLevel="0" collapsed="false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</row>
    <row r="448" customFormat="false" ht="15.75" hidden="false" customHeight="true" outlineLevel="0" collapsed="false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</row>
    <row r="449" customFormat="false" ht="15.75" hidden="false" customHeight="true" outlineLevel="0" collapsed="false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</row>
    <row r="450" customFormat="false" ht="15.75" hidden="false" customHeight="true" outlineLevel="0" collapsed="false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</row>
    <row r="451" customFormat="false" ht="15.75" hidden="false" customHeight="true" outlineLevel="0" collapsed="false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</row>
    <row r="452" customFormat="false" ht="15.75" hidden="false" customHeight="true" outlineLevel="0" collapsed="false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</row>
    <row r="453" customFormat="false" ht="15.75" hidden="false" customHeight="true" outlineLevel="0" collapsed="false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</row>
    <row r="454" customFormat="false" ht="15.75" hidden="false" customHeight="true" outlineLevel="0" collapsed="false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</row>
    <row r="455" customFormat="false" ht="15.75" hidden="false" customHeight="true" outlineLevel="0" collapsed="false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</row>
    <row r="456" customFormat="false" ht="15.75" hidden="false" customHeight="true" outlineLevel="0" collapsed="false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</row>
    <row r="457" customFormat="false" ht="15.75" hidden="false" customHeight="true" outlineLevel="0" collapsed="false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</row>
    <row r="458" customFormat="false" ht="15.75" hidden="false" customHeight="true" outlineLevel="0" collapsed="false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</row>
    <row r="459" customFormat="false" ht="15.75" hidden="false" customHeight="true" outlineLevel="0" collapsed="false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</row>
    <row r="460" customFormat="false" ht="15.75" hidden="false" customHeight="true" outlineLevel="0" collapsed="false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</row>
    <row r="461" customFormat="false" ht="15.75" hidden="false" customHeight="true" outlineLevel="0" collapsed="false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</row>
    <row r="462" customFormat="false" ht="15.75" hidden="false" customHeight="true" outlineLevel="0" collapsed="false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</row>
    <row r="463" customFormat="false" ht="15.75" hidden="false" customHeight="true" outlineLevel="0" collapsed="false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</row>
    <row r="464" customFormat="false" ht="15.75" hidden="false" customHeight="true" outlineLevel="0" collapsed="false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</row>
    <row r="465" customFormat="false" ht="15.75" hidden="false" customHeight="true" outlineLevel="0" collapsed="false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</row>
    <row r="466" customFormat="false" ht="15.75" hidden="false" customHeight="true" outlineLevel="0" collapsed="false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</row>
    <row r="467" customFormat="false" ht="15.75" hidden="false" customHeight="true" outlineLevel="0" collapsed="false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</row>
    <row r="468" customFormat="false" ht="15.75" hidden="false" customHeight="true" outlineLevel="0" collapsed="false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</row>
    <row r="469" customFormat="false" ht="15.75" hidden="false" customHeight="true" outlineLevel="0" collapsed="false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</row>
    <row r="470" customFormat="false" ht="15.75" hidden="false" customHeight="true" outlineLevel="0" collapsed="false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</row>
    <row r="471" customFormat="false" ht="15.75" hidden="false" customHeight="true" outlineLevel="0" collapsed="false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</row>
    <row r="472" customFormat="false" ht="15.75" hidden="false" customHeight="true" outlineLevel="0" collapsed="false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</row>
    <row r="473" customFormat="false" ht="15.75" hidden="false" customHeight="true" outlineLevel="0" collapsed="false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</row>
    <row r="474" customFormat="false" ht="15.75" hidden="false" customHeight="true" outlineLevel="0" collapsed="false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</row>
    <row r="475" customFormat="false" ht="15.75" hidden="false" customHeight="true" outlineLevel="0" collapsed="false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</row>
    <row r="476" customFormat="false" ht="15.75" hidden="false" customHeight="true" outlineLevel="0" collapsed="false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</row>
    <row r="477" customFormat="false" ht="15.75" hidden="false" customHeight="true" outlineLevel="0" collapsed="false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</row>
    <row r="478" customFormat="false" ht="15.75" hidden="false" customHeight="true" outlineLevel="0" collapsed="false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</row>
    <row r="479" customFormat="false" ht="15.75" hidden="false" customHeight="true" outlineLevel="0" collapsed="false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</row>
    <row r="480" customFormat="false" ht="15.75" hidden="false" customHeight="true" outlineLevel="0" collapsed="false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</row>
    <row r="481" customFormat="false" ht="15.75" hidden="false" customHeight="true" outlineLevel="0" collapsed="false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</row>
    <row r="482" customFormat="false" ht="15.75" hidden="false" customHeight="true" outlineLevel="0" collapsed="false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</row>
    <row r="483" customFormat="false" ht="15.75" hidden="false" customHeight="true" outlineLevel="0" collapsed="false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</row>
    <row r="484" customFormat="false" ht="15.75" hidden="false" customHeight="true" outlineLevel="0" collapsed="false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</row>
    <row r="485" customFormat="false" ht="15.75" hidden="false" customHeight="true" outlineLevel="0" collapsed="false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</row>
    <row r="486" customFormat="false" ht="15.75" hidden="false" customHeight="true" outlineLevel="0" collapsed="false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</row>
    <row r="487" customFormat="false" ht="15.75" hidden="false" customHeight="true" outlineLevel="0" collapsed="false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</row>
    <row r="488" customFormat="false" ht="15.75" hidden="false" customHeight="true" outlineLevel="0" collapsed="false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</row>
    <row r="489" customFormat="false" ht="15.75" hidden="false" customHeight="true" outlineLevel="0" collapsed="false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</row>
    <row r="490" customFormat="false" ht="15.75" hidden="false" customHeight="true" outlineLevel="0" collapsed="false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</row>
    <row r="491" customFormat="false" ht="15.75" hidden="false" customHeight="true" outlineLevel="0" collapsed="false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</row>
    <row r="492" customFormat="false" ht="15.75" hidden="false" customHeight="true" outlineLevel="0" collapsed="false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</row>
    <row r="493" customFormat="false" ht="15.75" hidden="false" customHeight="true" outlineLevel="0" collapsed="false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</row>
    <row r="494" customFormat="false" ht="15.75" hidden="false" customHeight="true" outlineLevel="0" collapsed="false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</row>
    <row r="495" customFormat="false" ht="15.75" hidden="false" customHeight="true" outlineLevel="0" collapsed="false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</row>
    <row r="496" customFormat="false" ht="15.75" hidden="false" customHeight="true" outlineLevel="0" collapsed="false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</row>
    <row r="497" customFormat="false" ht="15.75" hidden="false" customHeight="true" outlineLevel="0" collapsed="false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</row>
    <row r="498" customFormat="false" ht="15.75" hidden="false" customHeight="true" outlineLevel="0" collapsed="false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</row>
    <row r="499" customFormat="false" ht="15.75" hidden="false" customHeight="true" outlineLevel="0" collapsed="false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</row>
    <row r="500" customFormat="false" ht="15.75" hidden="false" customHeight="true" outlineLevel="0" collapsed="false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</row>
    <row r="501" customFormat="false" ht="15.75" hidden="false" customHeight="true" outlineLevel="0" collapsed="false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</row>
    <row r="502" customFormat="false" ht="15.75" hidden="false" customHeight="true" outlineLevel="0" collapsed="false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</row>
    <row r="503" customFormat="false" ht="15.75" hidden="false" customHeight="true" outlineLevel="0" collapsed="false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</row>
    <row r="504" customFormat="false" ht="15.75" hidden="false" customHeight="true" outlineLevel="0" collapsed="false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</row>
    <row r="505" customFormat="false" ht="15.75" hidden="false" customHeight="true" outlineLevel="0" collapsed="false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</row>
    <row r="506" customFormat="false" ht="15.75" hidden="false" customHeight="true" outlineLevel="0" collapsed="false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</row>
    <row r="507" customFormat="false" ht="15.75" hidden="false" customHeight="true" outlineLevel="0" collapsed="false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</row>
    <row r="508" customFormat="false" ht="15.75" hidden="false" customHeight="true" outlineLevel="0" collapsed="false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</row>
    <row r="509" customFormat="false" ht="15.75" hidden="false" customHeight="true" outlineLevel="0" collapsed="false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</row>
    <row r="510" customFormat="false" ht="15.75" hidden="false" customHeight="true" outlineLevel="0" collapsed="false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</row>
    <row r="511" customFormat="false" ht="15.75" hidden="false" customHeight="true" outlineLevel="0" collapsed="false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</row>
    <row r="512" customFormat="false" ht="15.75" hidden="false" customHeight="true" outlineLevel="0" collapsed="false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</row>
    <row r="513" customFormat="false" ht="15.75" hidden="false" customHeight="true" outlineLevel="0" collapsed="false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</row>
    <row r="514" customFormat="false" ht="15.75" hidden="false" customHeight="true" outlineLevel="0" collapsed="false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</row>
    <row r="515" customFormat="false" ht="15.75" hidden="false" customHeight="true" outlineLevel="0" collapsed="false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</row>
    <row r="516" customFormat="false" ht="15.75" hidden="false" customHeight="true" outlineLevel="0" collapsed="false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</row>
    <row r="517" customFormat="false" ht="15.75" hidden="false" customHeight="true" outlineLevel="0" collapsed="false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</row>
    <row r="518" customFormat="false" ht="15.75" hidden="false" customHeight="true" outlineLevel="0" collapsed="false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</row>
    <row r="519" customFormat="false" ht="15.75" hidden="false" customHeight="true" outlineLevel="0" collapsed="false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</row>
    <row r="520" customFormat="false" ht="15.75" hidden="false" customHeight="true" outlineLevel="0" collapsed="false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</row>
    <row r="521" customFormat="false" ht="15.75" hidden="false" customHeight="true" outlineLevel="0" collapsed="false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</row>
    <row r="522" customFormat="false" ht="15.75" hidden="false" customHeight="true" outlineLevel="0" collapsed="false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</row>
    <row r="523" customFormat="false" ht="15.75" hidden="false" customHeight="true" outlineLevel="0" collapsed="false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</row>
    <row r="524" customFormat="false" ht="15.75" hidden="false" customHeight="true" outlineLevel="0" collapsed="false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</row>
    <row r="525" customFormat="false" ht="15.75" hidden="false" customHeight="true" outlineLevel="0" collapsed="false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</row>
    <row r="526" customFormat="false" ht="15.75" hidden="false" customHeight="true" outlineLevel="0" collapsed="false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</row>
    <row r="527" customFormat="false" ht="15.75" hidden="false" customHeight="true" outlineLevel="0" collapsed="false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</row>
    <row r="528" customFormat="false" ht="15.75" hidden="false" customHeight="true" outlineLevel="0" collapsed="false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</row>
    <row r="529" customFormat="false" ht="15.75" hidden="false" customHeight="true" outlineLevel="0" collapsed="false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</row>
    <row r="530" customFormat="false" ht="15.75" hidden="false" customHeight="true" outlineLevel="0" collapsed="false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</row>
    <row r="531" customFormat="false" ht="15.75" hidden="false" customHeight="true" outlineLevel="0" collapsed="false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</row>
    <row r="532" customFormat="false" ht="15.75" hidden="false" customHeight="true" outlineLevel="0" collapsed="false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</row>
    <row r="533" customFormat="false" ht="15.75" hidden="false" customHeight="true" outlineLevel="0" collapsed="false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</row>
    <row r="534" customFormat="false" ht="15.75" hidden="false" customHeight="true" outlineLevel="0" collapsed="false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</row>
    <row r="535" customFormat="false" ht="15.75" hidden="false" customHeight="true" outlineLevel="0" collapsed="false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</row>
    <row r="536" customFormat="false" ht="15.75" hidden="false" customHeight="true" outlineLevel="0" collapsed="false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</row>
    <row r="537" customFormat="false" ht="15.75" hidden="false" customHeight="true" outlineLevel="0" collapsed="false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</row>
    <row r="538" customFormat="false" ht="15.75" hidden="false" customHeight="true" outlineLevel="0" collapsed="false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</row>
    <row r="539" customFormat="false" ht="15.75" hidden="false" customHeight="true" outlineLevel="0" collapsed="false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</row>
    <row r="540" customFormat="false" ht="15.75" hidden="false" customHeight="true" outlineLevel="0" collapsed="false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</row>
    <row r="541" customFormat="false" ht="15.75" hidden="false" customHeight="true" outlineLevel="0" collapsed="false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</row>
    <row r="542" customFormat="false" ht="15.75" hidden="false" customHeight="true" outlineLevel="0" collapsed="false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</row>
    <row r="543" customFormat="false" ht="15.75" hidden="false" customHeight="true" outlineLevel="0" collapsed="false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</row>
    <row r="544" customFormat="false" ht="15.75" hidden="false" customHeight="true" outlineLevel="0" collapsed="false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</row>
    <row r="545" customFormat="false" ht="15.75" hidden="false" customHeight="true" outlineLevel="0" collapsed="false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</row>
    <row r="546" customFormat="false" ht="15.75" hidden="false" customHeight="true" outlineLevel="0" collapsed="false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</row>
    <row r="547" customFormat="false" ht="15.75" hidden="false" customHeight="true" outlineLevel="0" collapsed="false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</row>
    <row r="548" customFormat="false" ht="15.75" hidden="false" customHeight="true" outlineLevel="0" collapsed="false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</row>
    <row r="549" customFormat="false" ht="15.75" hidden="false" customHeight="true" outlineLevel="0" collapsed="false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</row>
    <row r="550" customFormat="false" ht="15.75" hidden="false" customHeight="true" outlineLevel="0" collapsed="false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</row>
    <row r="551" customFormat="false" ht="15.75" hidden="false" customHeight="true" outlineLevel="0" collapsed="false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</row>
    <row r="552" customFormat="false" ht="15.75" hidden="false" customHeight="true" outlineLevel="0" collapsed="false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</row>
    <row r="553" customFormat="false" ht="15.75" hidden="false" customHeight="true" outlineLevel="0" collapsed="false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</row>
    <row r="554" customFormat="false" ht="15.75" hidden="false" customHeight="true" outlineLevel="0" collapsed="false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</row>
    <row r="555" customFormat="false" ht="15.75" hidden="false" customHeight="true" outlineLevel="0" collapsed="false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</row>
    <row r="556" customFormat="false" ht="15.75" hidden="false" customHeight="true" outlineLevel="0" collapsed="false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</row>
    <row r="557" customFormat="false" ht="15.75" hidden="false" customHeight="true" outlineLevel="0" collapsed="false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</row>
    <row r="558" customFormat="false" ht="15.75" hidden="false" customHeight="true" outlineLevel="0" collapsed="false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</row>
    <row r="559" customFormat="false" ht="15.75" hidden="false" customHeight="true" outlineLevel="0" collapsed="false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</row>
    <row r="560" customFormat="false" ht="15.75" hidden="false" customHeight="true" outlineLevel="0" collapsed="false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</row>
    <row r="561" customFormat="false" ht="15.75" hidden="false" customHeight="true" outlineLevel="0" collapsed="false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</row>
    <row r="562" customFormat="false" ht="15.75" hidden="false" customHeight="true" outlineLevel="0" collapsed="false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</row>
    <row r="563" customFormat="false" ht="15.75" hidden="false" customHeight="true" outlineLevel="0" collapsed="false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</row>
    <row r="564" customFormat="false" ht="15.75" hidden="false" customHeight="true" outlineLevel="0" collapsed="false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</row>
    <row r="565" customFormat="false" ht="15.75" hidden="false" customHeight="true" outlineLevel="0" collapsed="false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</row>
    <row r="566" customFormat="false" ht="15.75" hidden="false" customHeight="true" outlineLevel="0" collapsed="false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</row>
    <row r="567" customFormat="false" ht="15.75" hidden="false" customHeight="true" outlineLevel="0" collapsed="false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</row>
    <row r="568" customFormat="false" ht="15.75" hidden="false" customHeight="true" outlineLevel="0" collapsed="false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</row>
    <row r="569" customFormat="false" ht="15.75" hidden="false" customHeight="true" outlineLevel="0" collapsed="false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</row>
    <row r="570" customFormat="false" ht="15.75" hidden="false" customHeight="true" outlineLevel="0" collapsed="false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</row>
    <row r="571" customFormat="false" ht="15.75" hidden="false" customHeight="true" outlineLevel="0" collapsed="false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</row>
    <row r="572" customFormat="false" ht="15.75" hidden="false" customHeight="true" outlineLevel="0" collapsed="false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</row>
    <row r="573" customFormat="false" ht="15.75" hidden="false" customHeight="true" outlineLevel="0" collapsed="false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</row>
    <row r="574" customFormat="false" ht="15.75" hidden="false" customHeight="true" outlineLevel="0" collapsed="false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</row>
    <row r="575" customFormat="false" ht="15.75" hidden="false" customHeight="true" outlineLevel="0" collapsed="false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</row>
    <row r="576" customFormat="false" ht="15.75" hidden="false" customHeight="true" outlineLevel="0" collapsed="false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</row>
    <row r="577" customFormat="false" ht="15.75" hidden="false" customHeight="true" outlineLevel="0" collapsed="false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</row>
    <row r="578" customFormat="false" ht="15.75" hidden="false" customHeight="true" outlineLevel="0" collapsed="false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</row>
    <row r="579" customFormat="false" ht="15.75" hidden="false" customHeight="true" outlineLevel="0" collapsed="false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</row>
    <row r="580" customFormat="false" ht="15.75" hidden="false" customHeight="true" outlineLevel="0" collapsed="false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</row>
    <row r="581" customFormat="false" ht="15.75" hidden="false" customHeight="true" outlineLevel="0" collapsed="false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</row>
    <row r="582" customFormat="false" ht="15.75" hidden="false" customHeight="true" outlineLevel="0" collapsed="false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</row>
    <row r="583" customFormat="false" ht="15.75" hidden="false" customHeight="true" outlineLevel="0" collapsed="false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</row>
    <row r="584" customFormat="false" ht="15.75" hidden="false" customHeight="true" outlineLevel="0" collapsed="false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</row>
    <row r="585" customFormat="false" ht="15.75" hidden="false" customHeight="true" outlineLevel="0" collapsed="false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</row>
    <row r="586" customFormat="false" ht="15.75" hidden="false" customHeight="true" outlineLevel="0" collapsed="false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</row>
    <row r="587" customFormat="false" ht="15.75" hidden="false" customHeight="true" outlineLevel="0" collapsed="false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</row>
    <row r="588" customFormat="false" ht="15.75" hidden="false" customHeight="true" outlineLevel="0" collapsed="false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</row>
    <row r="589" customFormat="false" ht="15.75" hidden="false" customHeight="true" outlineLevel="0" collapsed="false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</row>
    <row r="590" customFormat="false" ht="15.75" hidden="false" customHeight="true" outlineLevel="0" collapsed="false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</row>
    <row r="591" customFormat="false" ht="15.75" hidden="false" customHeight="true" outlineLevel="0" collapsed="false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</row>
    <row r="592" customFormat="false" ht="15.75" hidden="false" customHeight="true" outlineLevel="0" collapsed="false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</row>
    <row r="593" customFormat="false" ht="15.75" hidden="false" customHeight="true" outlineLevel="0" collapsed="false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</row>
    <row r="594" customFormat="false" ht="15.75" hidden="false" customHeight="true" outlineLevel="0" collapsed="false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</row>
    <row r="595" customFormat="false" ht="15.75" hidden="false" customHeight="true" outlineLevel="0" collapsed="false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</row>
    <row r="596" customFormat="false" ht="15.75" hidden="false" customHeight="true" outlineLevel="0" collapsed="false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</row>
    <row r="597" customFormat="false" ht="15.75" hidden="false" customHeight="true" outlineLevel="0" collapsed="false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</row>
    <row r="598" customFormat="false" ht="15.75" hidden="false" customHeight="true" outlineLevel="0" collapsed="false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</row>
    <row r="599" customFormat="false" ht="15.75" hidden="false" customHeight="true" outlineLevel="0" collapsed="false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</row>
    <row r="600" customFormat="false" ht="15.75" hidden="false" customHeight="true" outlineLevel="0" collapsed="false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</row>
    <row r="601" customFormat="false" ht="15.75" hidden="false" customHeight="true" outlineLevel="0" collapsed="false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</row>
    <row r="602" customFormat="false" ht="15.75" hidden="false" customHeight="true" outlineLevel="0" collapsed="false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</row>
    <row r="603" customFormat="false" ht="15.75" hidden="false" customHeight="true" outlineLevel="0" collapsed="false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</row>
    <row r="604" customFormat="false" ht="15.75" hidden="false" customHeight="true" outlineLevel="0" collapsed="false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</row>
    <row r="605" customFormat="false" ht="15.75" hidden="false" customHeight="true" outlineLevel="0" collapsed="false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</row>
    <row r="606" customFormat="false" ht="15.75" hidden="false" customHeight="true" outlineLevel="0" collapsed="false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</row>
    <row r="607" customFormat="false" ht="15.75" hidden="false" customHeight="true" outlineLevel="0" collapsed="false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</row>
    <row r="608" customFormat="false" ht="15.75" hidden="false" customHeight="true" outlineLevel="0" collapsed="false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</row>
    <row r="609" customFormat="false" ht="15.75" hidden="false" customHeight="true" outlineLevel="0" collapsed="false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</row>
    <row r="610" customFormat="false" ht="15.75" hidden="false" customHeight="true" outlineLevel="0" collapsed="false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</row>
    <row r="611" customFormat="false" ht="15.75" hidden="false" customHeight="true" outlineLevel="0" collapsed="false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</row>
    <row r="612" customFormat="false" ht="15.75" hidden="false" customHeight="true" outlineLevel="0" collapsed="false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</row>
    <row r="613" customFormat="false" ht="15.75" hidden="false" customHeight="true" outlineLevel="0" collapsed="false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</row>
    <row r="614" customFormat="false" ht="15.75" hidden="false" customHeight="true" outlineLevel="0" collapsed="false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</row>
    <row r="615" customFormat="false" ht="15.75" hidden="false" customHeight="true" outlineLevel="0" collapsed="false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</row>
    <row r="616" customFormat="false" ht="15.75" hidden="false" customHeight="true" outlineLevel="0" collapsed="false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</row>
    <row r="617" customFormat="false" ht="15.75" hidden="false" customHeight="true" outlineLevel="0" collapsed="false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</row>
    <row r="618" customFormat="false" ht="15.75" hidden="false" customHeight="true" outlineLevel="0" collapsed="false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</row>
    <row r="619" customFormat="false" ht="15.75" hidden="false" customHeight="true" outlineLevel="0" collapsed="false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</row>
    <row r="620" customFormat="false" ht="15.75" hidden="false" customHeight="true" outlineLevel="0" collapsed="false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</row>
    <row r="621" customFormat="false" ht="15.75" hidden="false" customHeight="true" outlineLevel="0" collapsed="false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</row>
    <row r="622" customFormat="false" ht="15.75" hidden="false" customHeight="true" outlineLevel="0" collapsed="false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</row>
    <row r="623" customFormat="false" ht="15.75" hidden="false" customHeight="true" outlineLevel="0" collapsed="false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</row>
    <row r="624" customFormat="false" ht="15.75" hidden="false" customHeight="true" outlineLevel="0" collapsed="false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</row>
    <row r="625" customFormat="false" ht="15.75" hidden="false" customHeight="true" outlineLevel="0" collapsed="false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</row>
    <row r="626" customFormat="false" ht="15.75" hidden="false" customHeight="true" outlineLevel="0" collapsed="false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</row>
    <row r="627" customFormat="false" ht="15.75" hidden="false" customHeight="true" outlineLevel="0" collapsed="false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</row>
    <row r="628" customFormat="false" ht="15.75" hidden="false" customHeight="true" outlineLevel="0" collapsed="false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</row>
    <row r="629" customFormat="false" ht="15.75" hidden="false" customHeight="true" outlineLevel="0" collapsed="false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</row>
    <row r="630" customFormat="false" ht="15.75" hidden="false" customHeight="true" outlineLevel="0" collapsed="false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</row>
    <row r="631" customFormat="false" ht="15.75" hidden="false" customHeight="true" outlineLevel="0" collapsed="false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</row>
    <row r="632" customFormat="false" ht="15.75" hidden="false" customHeight="true" outlineLevel="0" collapsed="false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</row>
    <row r="633" customFormat="false" ht="15.75" hidden="false" customHeight="true" outlineLevel="0" collapsed="false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</row>
    <row r="634" customFormat="false" ht="15.75" hidden="false" customHeight="true" outlineLevel="0" collapsed="false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</row>
    <row r="635" customFormat="false" ht="15.75" hidden="false" customHeight="true" outlineLevel="0" collapsed="false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</row>
    <row r="636" customFormat="false" ht="15.75" hidden="false" customHeight="true" outlineLevel="0" collapsed="false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</row>
    <row r="637" customFormat="false" ht="15.75" hidden="false" customHeight="true" outlineLevel="0" collapsed="false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</row>
    <row r="638" customFormat="false" ht="15.75" hidden="false" customHeight="true" outlineLevel="0" collapsed="false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</row>
    <row r="639" customFormat="false" ht="15.75" hidden="false" customHeight="true" outlineLevel="0" collapsed="false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</row>
    <row r="640" customFormat="false" ht="15.75" hidden="false" customHeight="true" outlineLevel="0" collapsed="false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</row>
    <row r="641" customFormat="false" ht="15.75" hidden="false" customHeight="true" outlineLevel="0" collapsed="false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</row>
    <row r="642" customFormat="false" ht="15.75" hidden="false" customHeight="true" outlineLevel="0" collapsed="false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</row>
    <row r="643" customFormat="false" ht="15.75" hidden="false" customHeight="true" outlineLevel="0" collapsed="false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</row>
    <row r="644" customFormat="false" ht="15.75" hidden="false" customHeight="true" outlineLevel="0" collapsed="false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</row>
    <row r="645" customFormat="false" ht="15.75" hidden="false" customHeight="true" outlineLevel="0" collapsed="false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</row>
    <row r="646" customFormat="false" ht="15.75" hidden="false" customHeight="true" outlineLevel="0" collapsed="false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</row>
    <row r="647" customFormat="false" ht="15.75" hidden="false" customHeight="true" outlineLevel="0" collapsed="false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</row>
    <row r="648" customFormat="false" ht="15.75" hidden="false" customHeight="true" outlineLevel="0" collapsed="false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</row>
    <row r="649" customFormat="false" ht="15.75" hidden="false" customHeight="true" outlineLevel="0" collapsed="false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</row>
    <row r="650" customFormat="false" ht="15.75" hidden="false" customHeight="true" outlineLevel="0" collapsed="false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</row>
    <row r="651" customFormat="false" ht="15.75" hidden="false" customHeight="true" outlineLevel="0" collapsed="false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</row>
    <row r="652" customFormat="false" ht="15.75" hidden="false" customHeight="true" outlineLevel="0" collapsed="false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</row>
    <row r="653" customFormat="false" ht="15.75" hidden="false" customHeight="true" outlineLevel="0" collapsed="false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</row>
    <row r="654" customFormat="false" ht="15.75" hidden="false" customHeight="true" outlineLevel="0" collapsed="false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</row>
    <row r="655" customFormat="false" ht="15.75" hidden="false" customHeight="true" outlineLevel="0" collapsed="false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</row>
    <row r="656" customFormat="false" ht="15.75" hidden="false" customHeight="true" outlineLevel="0" collapsed="false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</row>
    <row r="657" customFormat="false" ht="15.75" hidden="false" customHeight="true" outlineLevel="0" collapsed="false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</row>
    <row r="658" customFormat="false" ht="15.75" hidden="false" customHeight="true" outlineLevel="0" collapsed="false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</row>
    <row r="659" customFormat="false" ht="15.75" hidden="false" customHeight="true" outlineLevel="0" collapsed="false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</row>
    <row r="660" customFormat="false" ht="15.75" hidden="false" customHeight="true" outlineLevel="0" collapsed="false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</row>
    <row r="661" customFormat="false" ht="15.75" hidden="false" customHeight="true" outlineLevel="0" collapsed="false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</row>
    <row r="662" customFormat="false" ht="15.75" hidden="false" customHeight="true" outlineLevel="0" collapsed="false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</row>
    <row r="663" customFormat="false" ht="15.75" hidden="false" customHeight="true" outlineLevel="0" collapsed="false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</row>
    <row r="664" customFormat="false" ht="15.75" hidden="false" customHeight="true" outlineLevel="0" collapsed="false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</row>
    <row r="665" customFormat="false" ht="15.75" hidden="false" customHeight="true" outlineLevel="0" collapsed="false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</row>
    <row r="666" customFormat="false" ht="15.75" hidden="false" customHeight="true" outlineLevel="0" collapsed="false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</row>
    <row r="667" customFormat="false" ht="15.75" hidden="false" customHeight="true" outlineLevel="0" collapsed="false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</row>
    <row r="668" customFormat="false" ht="15.75" hidden="false" customHeight="true" outlineLevel="0" collapsed="false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</row>
    <row r="669" customFormat="false" ht="15.75" hidden="false" customHeight="true" outlineLevel="0" collapsed="false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</row>
    <row r="670" customFormat="false" ht="15.75" hidden="false" customHeight="true" outlineLevel="0" collapsed="false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</row>
    <row r="671" customFormat="false" ht="15.75" hidden="false" customHeight="true" outlineLevel="0" collapsed="false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</row>
    <row r="672" customFormat="false" ht="15.75" hidden="false" customHeight="true" outlineLevel="0" collapsed="false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</row>
    <row r="673" customFormat="false" ht="15.75" hidden="false" customHeight="true" outlineLevel="0" collapsed="false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</row>
    <row r="674" customFormat="false" ht="15.75" hidden="false" customHeight="true" outlineLevel="0" collapsed="false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</row>
    <row r="675" customFormat="false" ht="15.75" hidden="false" customHeight="true" outlineLevel="0" collapsed="false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</row>
    <row r="676" customFormat="false" ht="15.75" hidden="false" customHeight="true" outlineLevel="0" collapsed="false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</row>
    <row r="677" customFormat="false" ht="15.75" hidden="false" customHeight="true" outlineLevel="0" collapsed="false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</row>
    <row r="678" customFormat="false" ht="15.75" hidden="false" customHeight="true" outlineLevel="0" collapsed="false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</row>
    <row r="679" customFormat="false" ht="15.75" hidden="false" customHeight="true" outlineLevel="0" collapsed="false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</row>
    <row r="680" customFormat="false" ht="15.75" hidden="false" customHeight="true" outlineLevel="0" collapsed="false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</row>
    <row r="681" customFormat="false" ht="15.75" hidden="false" customHeight="true" outlineLevel="0" collapsed="false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</row>
    <row r="682" customFormat="false" ht="15.75" hidden="false" customHeight="true" outlineLevel="0" collapsed="false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</row>
    <row r="683" customFormat="false" ht="15.75" hidden="false" customHeight="true" outlineLevel="0" collapsed="false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</row>
    <row r="684" customFormat="false" ht="15.75" hidden="false" customHeight="true" outlineLevel="0" collapsed="false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</row>
    <row r="685" customFormat="false" ht="15.75" hidden="false" customHeight="true" outlineLevel="0" collapsed="false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</row>
    <row r="686" customFormat="false" ht="15.75" hidden="false" customHeight="true" outlineLevel="0" collapsed="false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</row>
    <row r="687" customFormat="false" ht="15.75" hidden="false" customHeight="true" outlineLevel="0" collapsed="false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</row>
    <row r="688" customFormat="false" ht="15.75" hidden="false" customHeight="true" outlineLevel="0" collapsed="false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</row>
    <row r="689" customFormat="false" ht="15.75" hidden="false" customHeight="true" outlineLevel="0" collapsed="false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</row>
    <row r="690" customFormat="false" ht="15.75" hidden="false" customHeight="true" outlineLevel="0" collapsed="false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</row>
    <row r="691" customFormat="false" ht="15.75" hidden="false" customHeight="true" outlineLevel="0" collapsed="false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</row>
    <row r="692" customFormat="false" ht="15.75" hidden="false" customHeight="true" outlineLevel="0" collapsed="false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</row>
    <row r="693" customFormat="false" ht="15.75" hidden="false" customHeight="true" outlineLevel="0" collapsed="false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</row>
    <row r="694" customFormat="false" ht="15.75" hidden="false" customHeight="true" outlineLevel="0" collapsed="false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</row>
    <row r="695" customFormat="false" ht="15.75" hidden="false" customHeight="true" outlineLevel="0" collapsed="false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</row>
    <row r="696" customFormat="false" ht="15.75" hidden="false" customHeight="true" outlineLevel="0" collapsed="false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</row>
    <row r="697" customFormat="false" ht="15.75" hidden="false" customHeight="true" outlineLevel="0" collapsed="false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</row>
    <row r="698" customFormat="false" ht="15.75" hidden="false" customHeight="true" outlineLevel="0" collapsed="false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</row>
    <row r="699" customFormat="false" ht="15.75" hidden="false" customHeight="true" outlineLevel="0" collapsed="false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</row>
    <row r="700" customFormat="false" ht="15.75" hidden="false" customHeight="true" outlineLevel="0" collapsed="false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</row>
    <row r="701" customFormat="false" ht="15.75" hidden="false" customHeight="true" outlineLevel="0" collapsed="false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</row>
    <row r="702" customFormat="false" ht="15.75" hidden="false" customHeight="true" outlineLevel="0" collapsed="false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</row>
    <row r="703" customFormat="false" ht="15.75" hidden="false" customHeight="true" outlineLevel="0" collapsed="false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</row>
    <row r="704" customFormat="false" ht="15.75" hidden="false" customHeight="true" outlineLevel="0" collapsed="false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</row>
    <row r="705" customFormat="false" ht="15.75" hidden="false" customHeight="true" outlineLevel="0" collapsed="false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</row>
    <row r="706" customFormat="false" ht="15.75" hidden="false" customHeight="true" outlineLevel="0" collapsed="false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</row>
    <row r="707" customFormat="false" ht="15.75" hidden="false" customHeight="true" outlineLevel="0" collapsed="false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</row>
    <row r="708" customFormat="false" ht="15.75" hidden="false" customHeight="true" outlineLevel="0" collapsed="false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</row>
    <row r="709" customFormat="false" ht="15.75" hidden="false" customHeight="true" outlineLevel="0" collapsed="false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</row>
    <row r="710" customFormat="false" ht="15.75" hidden="false" customHeight="true" outlineLevel="0" collapsed="false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</row>
    <row r="711" customFormat="false" ht="15.75" hidden="false" customHeight="true" outlineLevel="0" collapsed="false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</row>
    <row r="712" customFormat="false" ht="15.75" hidden="false" customHeight="true" outlineLevel="0" collapsed="false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</row>
    <row r="713" customFormat="false" ht="15.75" hidden="false" customHeight="true" outlineLevel="0" collapsed="false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</row>
    <row r="714" customFormat="false" ht="15.75" hidden="false" customHeight="true" outlineLevel="0" collapsed="false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</row>
    <row r="715" customFormat="false" ht="15.75" hidden="false" customHeight="true" outlineLevel="0" collapsed="false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</row>
    <row r="716" customFormat="false" ht="15.75" hidden="false" customHeight="true" outlineLevel="0" collapsed="false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</row>
    <row r="717" customFormat="false" ht="15.75" hidden="false" customHeight="true" outlineLevel="0" collapsed="false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</row>
    <row r="718" customFormat="false" ht="15.75" hidden="false" customHeight="true" outlineLevel="0" collapsed="false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</row>
    <row r="719" customFormat="false" ht="15.75" hidden="false" customHeight="true" outlineLevel="0" collapsed="false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</row>
    <row r="720" customFormat="false" ht="15.75" hidden="false" customHeight="true" outlineLevel="0" collapsed="false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</row>
    <row r="721" customFormat="false" ht="15.75" hidden="false" customHeight="true" outlineLevel="0" collapsed="false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</row>
    <row r="722" customFormat="false" ht="15.75" hidden="false" customHeight="true" outlineLevel="0" collapsed="false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</row>
    <row r="723" customFormat="false" ht="15.75" hidden="false" customHeight="true" outlineLevel="0" collapsed="false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</row>
    <row r="724" customFormat="false" ht="15.75" hidden="false" customHeight="true" outlineLevel="0" collapsed="false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</row>
    <row r="725" customFormat="false" ht="15.75" hidden="false" customHeight="true" outlineLevel="0" collapsed="false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</row>
    <row r="726" customFormat="false" ht="15.75" hidden="false" customHeight="true" outlineLevel="0" collapsed="false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</row>
    <row r="727" customFormat="false" ht="15.75" hidden="false" customHeight="true" outlineLevel="0" collapsed="false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</row>
    <row r="728" customFormat="false" ht="15.75" hidden="false" customHeight="true" outlineLevel="0" collapsed="false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customFormat="false" ht="15.75" hidden="false" customHeight="true" outlineLevel="0" collapsed="false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customFormat="false" ht="15.75" hidden="false" customHeight="true" outlineLevel="0" collapsed="false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customFormat="false" ht="15.75" hidden="false" customHeight="true" outlineLevel="0" collapsed="false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customFormat="false" ht="15.75" hidden="false" customHeight="true" outlineLevel="0" collapsed="false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customFormat="false" ht="15.75" hidden="false" customHeight="true" outlineLevel="0" collapsed="false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customFormat="false" ht="15.75" hidden="false" customHeight="true" outlineLevel="0" collapsed="false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customFormat="false" ht="15.75" hidden="false" customHeight="true" outlineLevel="0" collapsed="false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customFormat="false" ht="15.75" hidden="false" customHeight="true" outlineLevel="0" collapsed="false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customFormat="false" ht="15.75" hidden="false" customHeight="true" outlineLevel="0" collapsed="false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customFormat="false" ht="15.75" hidden="false" customHeight="true" outlineLevel="0" collapsed="false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customFormat="false" ht="15.75" hidden="false" customHeight="true" outlineLevel="0" collapsed="false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customFormat="false" ht="15.75" hidden="false" customHeight="true" outlineLevel="0" collapsed="false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customFormat="false" ht="15.75" hidden="false" customHeight="true" outlineLevel="0" collapsed="false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customFormat="false" ht="15.75" hidden="false" customHeight="true" outlineLevel="0" collapsed="false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customFormat="false" ht="15.75" hidden="false" customHeight="true" outlineLevel="0" collapsed="false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customFormat="false" ht="15.75" hidden="false" customHeight="true" outlineLevel="0" collapsed="false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customFormat="false" ht="15.75" hidden="false" customHeight="true" outlineLevel="0" collapsed="false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customFormat="false" ht="15.75" hidden="false" customHeight="true" outlineLevel="0" collapsed="false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customFormat="false" ht="15.75" hidden="false" customHeight="true" outlineLevel="0" collapsed="false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customFormat="false" ht="15.75" hidden="false" customHeight="true" outlineLevel="0" collapsed="false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customFormat="false" ht="15.75" hidden="false" customHeight="true" outlineLevel="0" collapsed="false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customFormat="false" ht="15.75" hidden="false" customHeight="true" outlineLevel="0" collapsed="false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customFormat="false" ht="15.75" hidden="false" customHeight="true" outlineLevel="0" collapsed="false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customFormat="false" ht="15.75" hidden="false" customHeight="true" outlineLevel="0" collapsed="false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customFormat="false" ht="15.75" hidden="false" customHeight="true" outlineLevel="0" collapsed="false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customFormat="false" ht="15.75" hidden="false" customHeight="true" outlineLevel="0" collapsed="false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customFormat="false" ht="15.75" hidden="false" customHeight="true" outlineLevel="0" collapsed="false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customFormat="false" ht="15.75" hidden="false" customHeight="true" outlineLevel="0" collapsed="false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customFormat="false" ht="15.75" hidden="false" customHeight="true" outlineLevel="0" collapsed="false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customFormat="false" ht="15.75" hidden="false" customHeight="true" outlineLevel="0" collapsed="false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customFormat="false" ht="15.75" hidden="false" customHeight="true" outlineLevel="0" collapsed="false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customFormat="false" ht="15.75" hidden="false" customHeight="true" outlineLevel="0" collapsed="false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customFormat="false" ht="15.75" hidden="false" customHeight="true" outlineLevel="0" collapsed="false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customFormat="false" ht="15.75" hidden="false" customHeight="true" outlineLevel="0" collapsed="false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customFormat="false" ht="15.75" hidden="false" customHeight="true" outlineLevel="0" collapsed="false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customFormat="false" ht="15.75" hidden="false" customHeight="true" outlineLevel="0" collapsed="false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customFormat="false" ht="15.75" hidden="false" customHeight="true" outlineLevel="0" collapsed="false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customFormat="false" ht="15.75" hidden="false" customHeight="true" outlineLevel="0" collapsed="false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customFormat="false" ht="15.75" hidden="false" customHeight="true" outlineLevel="0" collapsed="false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customFormat="false" ht="15.75" hidden="false" customHeight="true" outlineLevel="0" collapsed="false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customFormat="false" ht="15.75" hidden="false" customHeight="true" outlineLevel="0" collapsed="false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customFormat="false" ht="15.75" hidden="false" customHeight="true" outlineLevel="0" collapsed="false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customFormat="false" ht="15.75" hidden="false" customHeight="true" outlineLevel="0" collapsed="false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customFormat="false" ht="15.75" hidden="false" customHeight="true" outlineLevel="0" collapsed="false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customFormat="false" ht="15.75" hidden="false" customHeight="true" outlineLevel="0" collapsed="false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customFormat="false" ht="15.75" hidden="false" customHeight="true" outlineLevel="0" collapsed="false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customFormat="false" ht="15.75" hidden="false" customHeight="true" outlineLevel="0" collapsed="false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customFormat="false" ht="15.75" hidden="false" customHeight="true" outlineLevel="0" collapsed="false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customFormat="false" ht="15.75" hidden="false" customHeight="true" outlineLevel="0" collapsed="false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  <row r="778" customFormat="false" ht="15.75" hidden="false" customHeight="true" outlineLevel="0" collapsed="false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</row>
    <row r="779" customFormat="false" ht="15.75" hidden="false" customHeight="true" outlineLevel="0" collapsed="false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</row>
    <row r="780" customFormat="false" ht="15.75" hidden="false" customHeight="true" outlineLevel="0" collapsed="false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</row>
    <row r="781" customFormat="false" ht="15.75" hidden="false" customHeight="true" outlineLevel="0" collapsed="false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</row>
    <row r="782" customFormat="false" ht="15.75" hidden="false" customHeight="true" outlineLevel="0" collapsed="false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</row>
    <row r="783" customFormat="false" ht="15.75" hidden="false" customHeight="true" outlineLevel="0" collapsed="false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</row>
    <row r="784" customFormat="false" ht="15.75" hidden="false" customHeight="true" outlineLevel="0" collapsed="false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</row>
    <row r="785" customFormat="false" ht="15.75" hidden="false" customHeight="true" outlineLevel="0" collapsed="false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</row>
    <row r="786" customFormat="false" ht="15.75" hidden="false" customHeight="true" outlineLevel="0" collapsed="false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</row>
    <row r="787" customFormat="false" ht="15.75" hidden="false" customHeight="true" outlineLevel="0" collapsed="false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</row>
    <row r="788" customFormat="false" ht="15.75" hidden="false" customHeight="true" outlineLevel="0" collapsed="false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</row>
    <row r="789" customFormat="false" ht="15.75" hidden="false" customHeight="true" outlineLevel="0" collapsed="false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</row>
    <row r="790" customFormat="false" ht="15.75" hidden="false" customHeight="true" outlineLevel="0" collapsed="false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</row>
    <row r="791" customFormat="false" ht="15.75" hidden="false" customHeight="true" outlineLevel="0" collapsed="false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</row>
    <row r="792" customFormat="false" ht="15.75" hidden="false" customHeight="true" outlineLevel="0" collapsed="false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</row>
    <row r="793" customFormat="false" ht="15.75" hidden="false" customHeight="true" outlineLevel="0" collapsed="false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</row>
    <row r="794" customFormat="false" ht="15.75" hidden="false" customHeight="true" outlineLevel="0" collapsed="false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</row>
    <row r="795" customFormat="false" ht="15.75" hidden="false" customHeight="true" outlineLevel="0" collapsed="false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</row>
    <row r="796" customFormat="false" ht="15.75" hidden="false" customHeight="true" outlineLevel="0" collapsed="false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</row>
    <row r="797" customFormat="false" ht="15.75" hidden="false" customHeight="true" outlineLevel="0" collapsed="false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</row>
    <row r="798" customFormat="false" ht="15.75" hidden="false" customHeight="true" outlineLevel="0" collapsed="false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</row>
    <row r="799" customFormat="false" ht="15.75" hidden="false" customHeight="true" outlineLevel="0" collapsed="false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</row>
    <row r="800" customFormat="false" ht="15.75" hidden="false" customHeight="true" outlineLevel="0" collapsed="false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</row>
    <row r="801" customFormat="false" ht="15.75" hidden="false" customHeight="true" outlineLevel="0" collapsed="false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</row>
    <row r="802" customFormat="false" ht="15.75" hidden="false" customHeight="true" outlineLevel="0" collapsed="false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</row>
    <row r="803" customFormat="false" ht="15.75" hidden="false" customHeight="true" outlineLevel="0" collapsed="false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</row>
    <row r="804" customFormat="false" ht="15.75" hidden="false" customHeight="true" outlineLevel="0" collapsed="false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</row>
    <row r="805" customFormat="false" ht="15.75" hidden="false" customHeight="true" outlineLevel="0" collapsed="false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</row>
    <row r="806" customFormat="false" ht="15.75" hidden="false" customHeight="true" outlineLevel="0" collapsed="false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</row>
    <row r="807" customFormat="false" ht="15.75" hidden="false" customHeight="true" outlineLevel="0" collapsed="false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</row>
    <row r="808" customFormat="false" ht="15.75" hidden="false" customHeight="true" outlineLevel="0" collapsed="false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</row>
    <row r="809" customFormat="false" ht="15.75" hidden="false" customHeight="true" outlineLevel="0" collapsed="false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</row>
    <row r="810" customFormat="false" ht="15.75" hidden="false" customHeight="true" outlineLevel="0" collapsed="false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</row>
    <row r="811" customFormat="false" ht="15.75" hidden="false" customHeight="true" outlineLevel="0" collapsed="false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</row>
    <row r="812" customFormat="false" ht="15.75" hidden="false" customHeight="true" outlineLevel="0" collapsed="false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</row>
    <row r="813" customFormat="false" ht="15.75" hidden="false" customHeight="true" outlineLevel="0" collapsed="false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</row>
    <row r="814" customFormat="false" ht="15.75" hidden="false" customHeight="true" outlineLevel="0" collapsed="false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</row>
    <row r="815" customFormat="false" ht="15.75" hidden="false" customHeight="true" outlineLevel="0" collapsed="false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</row>
    <row r="816" customFormat="false" ht="15.75" hidden="false" customHeight="true" outlineLevel="0" collapsed="false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</row>
    <row r="817" customFormat="false" ht="15.75" hidden="false" customHeight="true" outlineLevel="0" collapsed="false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</row>
    <row r="818" customFormat="false" ht="15.75" hidden="false" customHeight="true" outlineLevel="0" collapsed="false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</row>
    <row r="819" customFormat="false" ht="15.75" hidden="false" customHeight="true" outlineLevel="0" collapsed="false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</row>
    <row r="820" customFormat="false" ht="15.75" hidden="false" customHeight="true" outlineLevel="0" collapsed="false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</row>
    <row r="821" customFormat="false" ht="15.75" hidden="false" customHeight="true" outlineLevel="0" collapsed="false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</row>
    <row r="822" customFormat="false" ht="15.75" hidden="false" customHeight="true" outlineLevel="0" collapsed="false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</row>
    <row r="823" customFormat="false" ht="15.75" hidden="false" customHeight="true" outlineLevel="0" collapsed="false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</row>
    <row r="824" customFormat="false" ht="15.75" hidden="false" customHeight="true" outlineLevel="0" collapsed="false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</row>
    <row r="825" customFormat="false" ht="15.75" hidden="false" customHeight="true" outlineLevel="0" collapsed="false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</row>
    <row r="826" customFormat="false" ht="15.75" hidden="false" customHeight="true" outlineLevel="0" collapsed="false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</row>
    <row r="827" customFormat="false" ht="15.75" hidden="false" customHeight="true" outlineLevel="0" collapsed="false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</row>
    <row r="828" customFormat="false" ht="15.75" hidden="false" customHeight="true" outlineLevel="0" collapsed="false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</row>
    <row r="829" customFormat="false" ht="15.75" hidden="false" customHeight="true" outlineLevel="0" collapsed="false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</row>
    <row r="830" customFormat="false" ht="15.75" hidden="false" customHeight="true" outlineLevel="0" collapsed="false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</row>
    <row r="831" customFormat="false" ht="15.75" hidden="false" customHeight="true" outlineLevel="0" collapsed="false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</row>
    <row r="832" customFormat="false" ht="15.75" hidden="false" customHeight="true" outlineLevel="0" collapsed="false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</row>
    <row r="833" customFormat="false" ht="15.75" hidden="false" customHeight="true" outlineLevel="0" collapsed="false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</row>
    <row r="834" customFormat="false" ht="15.75" hidden="false" customHeight="true" outlineLevel="0" collapsed="false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</row>
    <row r="835" customFormat="false" ht="15.75" hidden="false" customHeight="true" outlineLevel="0" collapsed="false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</row>
    <row r="836" customFormat="false" ht="15.75" hidden="false" customHeight="true" outlineLevel="0" collapsed="false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</row>
    <row r="837" customFormat="false" ht="15.75" hidden="false" customHeight="true" outlineLevel="0" collapsed="false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</row>
    <row r="838" customFormat="false" ht="15.75" hidden="false" customHeight="true" outlineLevel="0" collapsed="false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</row>
    <row r="839" customFormat="false" ht="15.75" hidden="false" customHeight="true" outlineLevel="0" collapsed="false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</row>
    <row r="840" customFormat="false" ht="15.75" hidden="false" customHeight="true" outlineLevel="0" collapsed="false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</row>
    <row r="841" customFormat="false" ht="15.75" hidden="false" customHeight="true" outlineLevel="0" collapsed="false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</row>
    <row r="842" customFormat="false" ht="15.75" hidden="false" customHeight="true" outlineLevel="0" collapsed="false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</row>
    <row r="843" customFormat="false" ht="15.75" hidden="false" customHeight="true" outlineLevel="0" collapsed="false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</row>
    <row r="844" customFormat="false" ht="15.75" hidden="false" customHeight="true" outlineLevel="0" collapsed="false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</row>
    <row r="845" customFormat="false" ht="15.75" hidden="false" customHeight="true" outlineLevel="0" collapsed="false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</row>
    <row r="846" customFormat="false" ht="15.75" hidden="false" customHeight="true" outlineLevel="0" collapsed="false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</row>
    <row r="847" customFormat="false" ht="15.75" hidden="false" customHeight="true" outlineLevel="0" collapsed="false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</row>
    <row r="848" customFormat="false" ht="15.75" hidden="false" customHeight="true" outlineLevel="0" collapsed="false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</row>
    <row r="849" customFormat="false" ht="15.75" hidden="false" customHeight="true" outlineLevel="0" collapsed="false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</row>
    <row r="850" customFormat="false" ht="15.75" hidden="false" customHeight="true" outlineLevel="0" collapsed="false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</row>
    <row r="851" customFormat="false" ht="15.75" hidden="false" customHeight="true" outlineLevel="0" collapsed="false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</row>
    <row r="852" customFormat="false" ht="15.75" hidden="false" customHeight="true" outlineLevel="0" collapsed="false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</row>
    <row r="853" customFormat="false" ht="15.75" hidden="false" customHeight="true" outlineLevel="0" collapsed="false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</row>
    <row r="854" customFormat="false" ht="15.75" hidden="false" customHeight="true" outlineLevel="0" collapsed="false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</row>
    <row r="855" customFormat="false" ht="15.75" hidden="false" customHeight="true" outlineLevel="0" collapsed="false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</row>
    <row r="856" customFormat="false" ht="15.75" hidden="false" customHeight="true" outlineLevel="0" collapsed="false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</row>
    <row r="857" customFormat="false" ht="15.75" hidden="false" customHeight="true" outlineLevel="0" collapsed="false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</row>
    <row r="858" customFormat="false" ht="15.75" hidden="false" customHeight="true" outlineLevel="0" collapsed="false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</row>
    <row r="859" customFormat="false" ht="15.75" hidden="false" customHeight="true" outlineLevel="0" collapsed="false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</row>
    <row r="860" customFormat="false" ht="15.75" hidden="false" customHeight="true" outlineLevel="0" collapsed="false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</row>
    <row r="861" customFormat="false" ht="15.75" hidden="false" customHeight="true" outlineLevel="0" collapsed="false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</row>
    <row r="862" customFormat="false" ht="15.75" hidden="false" customHeight="true" outlineLevel="0" collapsed="false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</row>
    <row r="863" customFormat="false" ht="15.75" hidden="false" customHeight="true" outlineLevel="0" collapsed="false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</row>
    <row r="864" customFormat="false" ht="15.75" hidden="false" customHeight="true" outlineLevel="0" collapsed="false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</row>
    <row r="865" customFormat="false" ht="15.75" hidden="false" customHeight="true" outlineLevel="0" collapsed="false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</row>
    <row r="866" customFormat="false" ht="15.75" hidden="false" customHeight="true" outlineLevel="0" collapsed="false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</row>
    <row r="867" customFormat="false" ht="15.75" hidden="false" customHeight="true" outlineLevel="0" collapsed="false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</row>
    <row r="868" customFormat="false" ht="15.75" hidden="false" customHeight="true" outlineLevel="0" collapsed="false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</row>
    <row r="869" customFormat="false" ht="15.75" hidden="false" customHeight="true" outlineLevel="0" collapsed="false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</row>
    <row r="870" customFormat="false" ht="15.75" hidden="false" customHeight="true" outlineLevel="0" collapsed="false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</row>
    <row r="871" customFormat="false" ht="15.75" hidden="false" customHeight="true" outlineLevel="0" collapsed="false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</row>
    <row r="872" customFormat="false" ht="15.75" hidden="false" customHeight="true" outlineLevel="0" collapsed="false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</row>
    <row r="873" customFormat="false" ht="15.75" hidden="false" customHeight="true" outlineLevel="0" collapsed="false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</row>
    <row r="874" customFormat="false" ht="15.75" hidden="false" customHeight="true" outlineLevel="0" collapsed="false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</row>
    <row r="875" customFormat="false" ht="15.75" hidden="false" customHeight="true" outlineLevel="0" collapsed="false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</row>
    <row r="876" customFormat="false" ht="15.75" hidden="false" customHeight="true" outlineLevel="0" collapsed="false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</row>
    <row r="877" customFormat="false" ht="15.75" hidden="false" customHeight="true" outlineLevel="0" collapsed="false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</row>
    <row r="878" customFormat="false" ht="15.75" hidden="false" customHeight="true" outlineLevel="0" collapsed="false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</row>
    <row r="879" customFormat="false" ht="15.75" hidden="false" customHeight="true" outlineLevel="0" collapsed="false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</row>
    <row r="880" customFormat="false" ht="15.75" hidden="false" customHeight="true" outlineLevel="0" collapsed="false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</row>
    <row r="881" customFormat="false" ht="15.75" hidden="false" customHeight="true" outlineLevel="0" collapsed="false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</row>
    <row r="882" customFormat="false" ht="15.75" hidden="false" customHeight="true" outlineLevel="0" collapsed="false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</row>
    <row r="883" customFormat="false" ht="15.75" hidden="false" customHeight="true" outlineLevel="0" collapsed="false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</row>
    <row r="884" customFormat="false" ht="15.75" hidden="false" customHeight="true" outlineLevel="0" collapsed="false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</row>
    <row r="885" customFormat="false" ht="15.75" hidden="false" customHeight="true" outlineLevel="0" collapsed="false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</row>
    <row r="886" customFormat="false" ht="15.75" hidden="false" customHeight="true" outlineLevel="0" collapsed="false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</row>
    <row r="887" customFormat="false" ht="15.75" hidden="false" customHeight="true" outlineLevel="0" collapsed="false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</row>
    <row r="888" customFormat="false" ht="15.75" hidden="false" customHeight="true" outlineLevel="0" collapsed="false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</row>
    <row r="889" customFormat="false" ht="15.75" hidden="false" customHeight="true" outlineLevel="0" collapsed="false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</row>
    <row r="890" customFormat="false" ht="15.75" hidden="false" customHeight="true" outlineLevel="0" collapsed="false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</row>
    <row r="891" customFormat="false" ht="15.75" hidden="false" customHeight="true" outlineLevel="0" collapsed="false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</row>
    <row r="892" customFormat="false" ht="15.75" hidden="false" customHeight="true" outlineLevel="0" collapsed="false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</row>
    <row r="893" customFormat="false" ht="15.75" hidden="false" customHeight="true" outlineLevel="0" collapsed="false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</row>
    <row r="894" customFormat="false" ht="15.75" hidden="false" customHeight="true" outlineLevel="0" collapsed="false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</row>
    <row r="895" customFormat="false" ht="15.75" hidden="false" customHeight="true" outlineLevel="0" collapsed="false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</row>
    <row r="896" customFormat="false" ht="15.75" hidden="false" customHeight="true" outlineLevel="0" collapsed="false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</row>
    <row r="897" customFormat="false" ht="15.75" hidden="false" customHeight="true" outlineLevel="0" collapsed="false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</row>
    <row r="898" customFormat="false" ht="15.75" hidden="false" customHeight="true" outlineLevel="0" collapsed="false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</row>
    <row r="899" customFormat="false" ht="15.75" hidden="false" customHeight="true" outlineLevel="0" collapsed="false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</row>
    <row r="900" customFormat="false" ht="15.75" hidden="false" customHeight="true" outlineLevel="0" collapsed="false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</row>
    <row r="901" customFormat="false" ht="15.75" hidden="false" customHeight="true" outlineLevel="0" collapsed="false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</row>
    <row r="902" customFormat="false" ht="15.75" hidden="false" customHeight="true" outlineLevel="0" collapsed="false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</row>
    <row r="903" customFormat="false" ht="15.75" hidden="false" customHeight="true" outlineLevel="0" collapsed="false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</row>
    <row r="904" customFormat="false" ht="15.75" hidden="false" customHeight="true" outlineLevel="0" collapsed="false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</row>
    <row r="905" customFormat="false" ht="15.75" hidden="false" customHeight="true" outlineLevel="0" collapsed="false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</row>
    <row r="906" customFormat="false" ht="15.75" hidden="false" customHeight="true" outlineLevel="0" collapsed="false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</row>
    <row r="907" customFormat="false" ht="15.75" hidden="false" customHeight="true" outlineLevel="0" collapsed="false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</row>
    <row r="908" customFormat="false" ht="15.75" hidden="false" customHeight="true" outlineLevel="0" collapsed="false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</row>
    <row r="909" customFormat="false" ht="15.75" hidden="false" customHeight="true" outlineLevel="0" collapsed="false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</row>
    <row r="910" customFormat="false" ht="15.75" hidden="false" customHeight="true" outlineLevel="0" collapsed="false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</row>
    <row r="911" customFormat="false" ht="15.75" hidden="false" customHeight="true" outlineLevel="0" collapsed="false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</row>
    <row r="912" customFormat="false" ht="15.75" hidden="false" customHeight="true" outlineLevel="0" collapsed="false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</row>
    <row r="913" customFormat="false" ht="15.75" hidden="false" customHeight="true" outlineLevel="0" collapsed="false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</row>
    <row r="914" customFormat="false" ht="15.75" hidden="false" customHeight="true" outlineLevel="0" collapsed="false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</row>
    <row r="915" customFormat="false" ht="15.75" hidden="false" customHeight="true" outlineLevel="0" collapsed="false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</row>
    <row r="916" customFormat="false" ht="15.75" hidden="false" customHeight="true" outlineLevel="0" collapsed="false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</row>
    <row r="917" customFormat="false" ht="15.75" hidden="false" customHeight="true" outlineLevel="0" collapsed="false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</row>
    <row r="918" customFormat="false" ht="15.75" hidden="false" customHeight="true" outlineLevel="0" collapsed="false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</row>
    <row r="919" customFormat="false" ht="15.75" hidden="false" customHeight="true" outlineLevel="0" collapsed="false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</row>
    <row r="920" customFormat="false" ht="15.75" hidden="false" customHeight="true" outlineLevel="0" collapsed="false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</row>
    <row r="921" customFormat="false" ht="15.75" hidden="false" customHeight="true" outlineLevel="0" collapsed="false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</row>
    <row r="922" customFormat="false" ht="15.75" hidden="false" customHeight="true" outlineLevel="0" collapsed="false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</row>
    <row r="923" customFormat="false" ht="15.75" hidden="false" customHeight="true" outlineLevel="0" collapsed="false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</row>
    <row r="924" customFormat="false" ht="15.75" hidden="false" customHeight="true" outlineLevel="0" collapsed="false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</row>
    <row r="925" customFormat="false" ht="15.75" hidden="false" customHeight="true" outlineLevel="0" collapsed="false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</row>
    <row r="926" customFormat="false" ht="15.75" hidden="false" customHeight="true" outlineLevel="0" collapsed="false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</row>
    <row r="927" customFormat="false" ht="15.75" hidden="false" customHeight="true" outlineLevel="0" collapsed="false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</row>
    <row r="928" customFormat="false" ht="15.75" hidden="false" customHeight="true" outlineLevel="0" collapsed="false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</row>
    <row r="929" customFormat="false" ht="15.75" hidden="false" customHeight="true" outlineLevel="0" collapsed="false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</row>
    <row r="930" customFormat="false" ht="15.75" hidden="false" customHeight="true" outlineLevel="0" collapsed="false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</row>
    <row r="931" customFormat="false" ht="15.75" hidden="false" customHeight="true" outlineLevel="0" collapsed="false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</row>
    <row r="932" customFormat="false" ht="15.75" hidden="false" customHeight="true" outlineLevel="0" collapsed="false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</row>
    <row r="933" customFormat="false" ht="15.75" hidden="false" customHeight="true" outlineLevel="0" collapsed="false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</row>
    <row r="934" customFormat="false" ht="15.75" hidden="false" customHeight="true" outlineLevel="0" collapsed="false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</row>
    <row r="935" customFormat="false" ht="15.75" hidden="false" customHeight="true" outlineLevel="0" collapsed="false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</row>
    <row r="936" customFormat="false" ht="15.75" hidden="false" customHeight="true" outlineLevel="0" collapsed="false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</row>
    <row r="937" customFormat="false" ht="15.75" hidden="false" customHeight="true" outlineLevel="0" collapsed="false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</row>
    <row r="938" customFormat="false" ht="15.75" hidden="false" customHeight="true" outlineLevel="0" collapsed="false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</row>
    <row r="939" customFormat="false" ht="15.75" hidden="false" customHeight="true" outlineLevel="0" collapsed="false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</row>
    <row r="940" customFormat="false" ht="15.75" hidden="false" customHeight="true" outlineLevel="0" collapsed="false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</row>
    <row r="941" customFormat="false" ht="15.75" hidden="false" customHeight="true" outlineLevel="0" collapsed="false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</row>
    <row r="942" customFormat="false" ht="15.75" hidden="false" customHeight="true" outlineLevel="0" collapsed="false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</row>
    <row r="943" customFormat="false" ht="15.75" hidden="false" customHeight="true" outlineLevel="0" collapsed="false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</row>
    <row r="944" customFormat="false" ht="15.75" hidden="false" customHeight="true" outlineLevel="0" collapsed="false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</row>
    <row r="945" customFormat="false" ht="15.75" hidden="false" customHeight="true" outlineLevel="0" collapsed="false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</row>
    <row r="946" customFormat="false" ht="15.75" hidden="false" customHeight="true" outlineLevel="0" collapsed="false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</row>
    <row r="947" customFormat="false" ht="15.75" hidden="false" customHeight="true" outlineLevel="0" collapsed="false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</row>
    <row r="948" customFormat="false" ht="15.75" hidden="false" customHeight="true" outlineLevel="0" collapsed="false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</row>
    <row r="949" customFormat="false" ht="15.75" hidden="false" customHeight="true" outlineLevel="0" collapsed="false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</row>
    <row r="950" customFormat="false" ht="15.75" hidden="false" customHeight="true" outlineLevel="0" collapsed="false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</row>
    <row r="951" customFormat="false" ht="15.75" hidden="false" customHeight="true" outlineLevel="0" collapsed="false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</row>
    <row r="952" customFormat="false" ht="15.75" hidden="false" customHeight="true" outlineLevel="0" collapsed="false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</row>
    <row r="953" customFormat="false" ht="15.75" hidden="false" customHeight="true" outlineLevel="0" collapsed="false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</row>
    <row r="954" customFormat="false" ht="15.75" hidden="false" customHeight="true" outlineLevel="0" collapsed="false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</row>
    <row r="955" customFormat="false" ht="15.75" hidden="false" customHeight="true" outlineLevel="0" collapsed="false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</row>
    <row r="956" customFormat="false" ht="15.75" hidden="false" customHeight="true" outlineLevel="0" collapsed="false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</row>
    <row r="957" customFormat="false" ht="15.75" hidden="false" customHeight="true" outlineLevel="0" collapsed="false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</row>
    <row r="958" customFormat="false" ht="15.75" hidden="false" customHeight="true" outlineLevel="0" collapsed="false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</row>
    <row r="959" customFormat="false" ht="15.75" hidden="false" customHeight="true" outlineLevel="0" collapsed="false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</row>
    <row r="960" customFormat="false" ht="15.75" hidden="false" customHeight="true" outlineLevel="0" collapsed="false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</row>
    <row r="961" customFormat="false" ht="15.75" hidden="false" customHeight="true" outlineLevel="0" collapsed="false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</row>
    <row r="962" customFormat="false" ht="15.75" hidden="false" customHeight="true" outlineLevel="0" collapsed="false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</row>
    <row r="963" customFormat="false" ht="15.75" hidden="false" customHeight="true" outlineLevel="0" collapsed="false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</row>
    <row r="964" customFormat="false" ht="15.75" hidden="false" customHeight="true" outlineLevel="0" collapsed="false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</row>
    <row r="965" customFormat="false" ht="15.75" hidden="false" customHeight="true" outlineLevel="0" collapsed="false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</row>
    <row r="966" customFormat="false" ht="15.75" hidden="false" customHeight="true" outlineLevel="0" collapsed="false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</row>
    <row r="967" customFormat="false" ht="15.75" hidden="false" customHeight="true" outlineLevel="0" collapsed="false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</row>
    <row r="968" customFormat="false" ht="15.75" hidden="false" customHeight="true" outlineLevel="0" collapsed="false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</row>
    <row r="969" customFormat="false" ht="15.75" hidden="false" customHeight="true" outlineLevel="0" collapsed="false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</row>
    <row r="970" customFormat="false" ht="15.75" hidden="false" customHeight="true" outlineLevel="0" collapsed="false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</row>
    <row r="971" customFormat="false" ht="15.75" hidden="false" customHeight="true" outlineLevel="0" collapsed="false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</row>
    <row r="972" customFormat="false" ht="15.75" hidden="false" customHeight="true" outlineLevel="0" collapsed="false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</row>
    <row r="973" customFormat="false" ht="15.75" hidden="false" customHeight="true" outlineLevel="0" collapsed="false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</row>
    <row r="974" customFormat="false" ht="15.75" hidden="false" customHeight="true" outlineLevel="0" collapsed="false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</row>
    <row r="975" customFormat="false" ht="15.75" hidden="false" customHeight="true" outlineLevel="0" collapsed="false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</row>
    <row r="976" customFormat="false" ht="15.75" hidden="false" customHeight="true" outlineLevel="0" collapsed="false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</row>
    <row r="977" customFormat="false" ht="15.75" hidden="false" customHeight="true" outlineLevel="0" collapsed="false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</row>
    <row r="978" customFormat="false" ht="15.75" hidden="false" customHeight="true" outlineLevel="0" collapsed="false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</row>
    <row r="979" customFormat="false" ht="15.75" hidden="false" customHeight="true" outlineLevel="0" collapsed="false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</row>
    <row r="980" customFormat="false" ht="15.75" hidden="false" customHeight="true" outlineLevel="0" collapsed="false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</row>
    <row r="981" customFormat="false" ht="15.75" hidden="false" customHeight="true" outlineLevel="0" collapsed="false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</row>
    <row r="982" customFormat="false" ht="15.75" hidden="false" customHeight="true" outlineLevel="0" collapsed="false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</row>
    <row r="983" customFormat="false" ht="15.75" hidden="false" customHeight="true" outlineLevel="0" collapsed="false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</row>
    <row r="984" customFormat="false" ht="15.75" hidden="false" customHeight="true" outlineLevel="0" collapsed="false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</row>
    <row r="985" customFormat="false" ht="15.75" hidden="false" customHeight="true" outlineLevel="0" collapsed="false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</row>
    <row r="986" customFormat="false" ht="15.75" hidden="false" customHeight="true" outlineLevel="0" collapsed="false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</row>
    <row r="987" customFormat="false" ht="15.75" hidden="false" customHeight="true" outlineLevel="0" collapsed="false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</row>
    <row r="988" customFormat="false" ht="15.75" hidden="false" customHeight="true" outlineLevel="0" collapsed="false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</row>
    <row r="989" customFormat="false" ht="15.75" hidden="false" customHeight="true" outlineLevel="0" collapsed="false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</row>
    <row r="990" customFormat="false" ht="15.75" hidden="false" customHeight="true" outlineLevel="0" collapsed="false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</row>
    <row r="991" customFormat="false" ht="15.75" hidden="false" customHeight="true" outlineLevel="0" collapsed="false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</row>
    <row r="992" customFormat="false" ht="15.75" hidden="false" customHeight="true" outlineLevel="0" collapsed="false">
      <c r="A992" s="27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</row>
    <row r="993" customFormat="false" ht="15.75" hidden="false" customHeight="true" outlineLevel="0" collapsed="false">
      <c r="A993" s="27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</row>
    <row r="994" customFormat="false" ht="15.75" hidden="false" customHeight="true" outlineLevel="0" collapsed="false">
      <c r="A994" s="27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</row>
    <row r="995" customFormat="false" ht="15.75" hidden="false" customHeight="true" outlineLevel="0" collapsed="false">
      <c r="A995" s="27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</row>
    <row r="996" customFormat="false" ht="15.75" hidden="false" customHeight="true" outlineLevel="0" collapsed="false">
      <c r="A996" s="27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</row>
    <row r="997" customFormat="false" ht="15.75" hidden="false" customHeight="true" outlineLevel="0" collapsed="false">
      <c r="A997" s="27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</row>
    <row r="998" customFormat="false" ht="15.75" hidden="false" customHeight="true" outlineLevel="0" collapsed="false">
      <c r="A998" s="27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</row>
    <row r="999" customFormat="false" ht="15.75" hidden="false" customHeight="true" outlineLevel="0" collapsed="false">
      <c r="A999" s="27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</row>
    <row r="1000" customFormat="false" ht="15.75" hidden="false" customHeight="true" outlineLevel="0" collapsed="false">
      <c r="A1000" s="27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</row>
    <row r="1001" customFormat="false" ht="15.75" hidden="false" customHeight="true" outlineLevel="0" collapsed="false">
      <c r="A1001" s="27"/>
      <c r="B1001" s="27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</row>
    <row r="1002" customFormat="false" ht="15.75" hidden="false" customHeight="true" outlineLevel="0" collapsed="false">
      <c r="A1002" s="27"/>
      <c r="B1002" s="27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</row>
    <row r="1003" customFormat="false" ht="15.75" hidden="false" customHeight="true" outlineLevel="0" collapsed="false">
      <c r="A1003" s="27"/>
      <c r="B1003" s="27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</row>
    <row r="1004" customFormat="false" ht="15.75" hidden="false" customHeight="true" outlineLevel="0" collapsed="false">
      <c r="A1004" s="27"/>
      <c r="B1004" s="27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</row>
    <row r="1005" customFormat="false" ht="15.75" hidden="false" customHeight="true" outlineLevel="0" collapsed="false">
      <c r="A1005" s="27"/>
      <c r="B1005" s="27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</row>
    <row r="1006" customFormat="false" ht="15.75" hidden="false" customHeight="true" outlineLevel="0" collapsed="false">
      <c r="A1006" s="27"/>
      <c r="B1006" s="27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</row>
    <row r="1007" customFormat="false" ht="15.75" hidden="false" customHeight="true" outlineLevel="0" collapsed="false">
      <c r="A1007" s="27"/>
      <c r="B1007" s="27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</row>
    <row r="1008" customFormat="false" ht="15.75" hidden="false" customHeight="true" outlineLevel="0" collapsed="false">
      <c r="A1008" s="27"/>
      <c r="B1008" s="27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</row>
    <row r="1009" customFormat="false" ht="15.75" hidden="false" customHeight="true" outlineLevel="0" collapsed="false">
      <c r="A1009" s="27"/>
      <c r="B1009" s="27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</row>
    <row r="1010" customFormat="false" ht="15.75" hidden="false" customHeight="true" outlineLevel="0" collapsed="false">
      <c r="A1010" s="27"/>
      <c r="B1010" s="27"/>
      <c r="C1010" s="27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</row>
    <row r="1011" customFormat="false" ht="15.75" hidden="false" customHeight="true" outlineLevel="0" collapsed="false">
      <c r="A1011" s="27"/>
      <c r="B1011" s="27"/>
      <c r="C1011" s="27"/>
      <c r="D1011" s="27"/>
      <c r="E1011" s="27"/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</row>
    <row r="1012" customFormat="false" ht="15.75" hidden="false" customHeight="true" outlineLevel="0" collapsed="false">
      <c r="A1012" s="27"/>
      <c r="B1012" s="27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</row>
    <row r="1013" customFormat="false" ht="15.75" hidden="false" customHeight="true" outlineLevel="0" collapsed="false">
      <c r="A1013" s="27"/>
      <c r="B1013" s="27"/>
      <c r="C1013" s="27"/>
      <c r="D1013" s="27"/>
      <c r="E1013" s="27"/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</row>
    <row r="1014" customFormat="false" ht="15.75" hidden="false" customHeight="true" outlineLevel="0" collapsed="false">
      <c r="A1014" s="27"/>
      <c r="B1014" s="27"/>
      <c r="C1014" s="27"/>
      <c r="D1014" s="27"/>
      <c r="E1014" s="27"/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</row>
    <row r="1015" customFormat="false" ht="15.75" hidden="false" customHeight="true" outlineLevel="0" collapsed="false">
      <c r="A1015" s="27"/>
      <c r="B1015" s="27"/>
      <c r="C1015" s="27"/>
      <c r="D1015" s="27"/>
      <c r="E1015" s="27"/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</row>
  </sheetData>
  <mergeCells count="13">
    <mergeCell ref="B13:F13"/>
    <mergeCell ref="G13:J13"/>
    <mergeCell ref="K13:M13"/>
    <mergeCell ref="N13:N15"/>
    <mergeCell ref="O13:O15"/>
    <mergeCell ref="A14:A15"/>
    <mergeCell ref="A28:M28"/>
    <mergeCell ref="N28:N29"/>
    <mergeCell ref="A47:M47"/>
    <mergeCell ref="N47:N48"/>
    <mergeCell ref="A65:M65"/>
    <mergeCell ref="N65:N66"/>
    <mergeCell ref="A90:M90"/>
  </mergeCells>
  <conditionalFormatting sqref="B87:M87">
    <cfRule type="cellIs" priority="2" operator="greaterThan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  <cfRule type="cellIs" priority="4" operator="equal" aboveAverage="0" equalAverage="0" bottom="0" percent="0" rank="0" text="" dxfId="2">
      <formula>0</formula>
    </cfRule>
  </conditionalFormatting>
  <dataValidations count="2">
    <dataValidation allowBlank="true" errorStyle="stop" operator="between" prompt="Click and enter a value from the list of items" showDropDown="false" showErrorMessage="true" showInputMessage="true" sqref="B15:M15" type="list">
      <formula1>"Alto,Medio,Bajo"</formula1>
      <formula2>0</formula2>
    </dataValidation>
    <dataValidation allowBlank="true" errorStyle="stop" operator="between" prompt="Enter a valid date" showDropDown="true" showErrorMessage="false" showInputMessage="true" sqref="B83" type="custom">
      <formula1>OR(NOT(ISERROR(DATEVALUE(B83))), AND(ISNUMBER(B83), LEFT(CELL("format", B83))="D"))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AA84F"/>
    <outlinePr summaryBelow="0"/>
    <pageSetUpPr fitToPage="false"/>
  </sheetPr>
  <dimension ref="A1:P10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customHeight="true" zeroHeight="false" outlineLevelRow="0" outlineLevelCol="0"/>
  <cols>
    <col collapsed="false" customWidth="true" hidden="false" outlineLevel="0" max="1" min="1" style="18" width="20.38"/>
  </cols>
  <sheetData>
    <row r="1" customFormat="false" ht="15.75" hidden="false" customHeight="true" outlineLevel="0" collapsed="false">
      <c r="A1" s="19" t="s">
        <v>113</v>
      </c>
      <c r="B1" s="20" t="s">
        <v>114</v>
      </c>
      <c r="C1" s="21" t="s">
        <v>115</v>
      </c>
      <c r="D1" s="22" t="s">
        <v>116</v>
      </c>
      <c r="E1" s="27"/>
      <c r="F1" s="24" t="s">
        <v>156</v>
      </c>
      <c r="G1" s="25" t="n">
        <v>5200000</v>
      </c>
      <c r="H1" s="26" t="s">
        <v>118</v>
      </c>
      <c r="I1" s="26" t="s">
        <v>119</v>
      </c>
      <c r="J1" s="26" t="s">
        <v>120</v>
      </c>
      <c r="K1" s="26" t="s">
        <v>121</v>
      </c>
      <c r="L1" s="27"/>
      <c r="M1" s="27"/>
      <c r="N1" s="27"/>
      <c r="O1" s="154"/>
    </row>
    <row r="2" customFormat="false" ht="15.75" hidden="false" customHeight="true" outlineLevel="0" collapsed="false">
      <c r="A2" s="155" t="s">
        <v>67</v>
      </c>
      <c r="B2" s="29" t="n">
        <v>0.07</v>
      </c>
      <c r="C2" s="29" t="n">
        <v>0.05</v>
      </c>
      <c r="D2" s="29" t="n">
        <v>0.03</v>
      </c>
      <c r="E2" s="27"/>
      <c r="F2" s="23"/>
      <c r="G2" s="23"/>
      <c r="H2" s="31" t="n">
        <v>0.6</v>
      </c>
      <c r="I2" s="32" t="n">
        <f aca="false">G1*H2</f>
        <v>3120000</v>
      </c>
      <c r="J2" s="27" t="n">
        <v>5</v>
      </c>
      <c r="K2" s="32" t="n">
        <f aca="false">I2/J2</f>
        <v>624000</v>
      </c>
      <c r="L2" s="27"/>
      <c r="M2" s="27"/>
      <c r="N2" s="27"/>
      <c r="O2" s="154"/>
    </row>
    <row r="3" customFormat="false" ht="15.75" hidden="false" customHeight="true" outlineLevel="0" collapsed="false">
      <c r="A3" s="155" t="s">
        <v>68</v>
      </c>
      <c r="B3" s="29" t="n">
        <v>0.18</v>
      </c>
      <c r="C3" s="29" t="n">
        <v>0.16</v>
      </c>
      <c r="D3" s="29" t="n">
        <v>0.14</v>
      </c>
      <c r="E3" s="27"/>
      <c r="F3" s="23"/>
      <c r="G3" s="23"/>
      <c r="H3" s="31" t="n">
        <v>0.25</v>
      </c>
      <c r="I3" s="32" t="n">
        <f aca="false">G1*H3</f>
        <v>1300000</v>
      </c>
      <c r="J3" s="27" t="n">
        <v>4</v>
      </c>
      <c r="K3" s="32" t="n">
        <f aca="false">I3/J3</f>
        <v>325000</v>
      </c>
      <c r="L3" s="27"/>
      <c r="M3" s="27"/>
      <c r="N3" s="27"/>
      <c r="O3" s="154"/>
    </row>
    <row r="4" customFormat="false" ht="15.75" hidden="false" customHeight="true" outlineLevel="0" collapsed="false">
      <c r="A4" s="155" t="s">
        <v>69</v>
      </c>
      <c r="B4" s="29" t="n">
        <v>0.4</v>
      </c>
      <c r="C4" s="29" t="n">
        <v>0.4</v>
      </c>
      <c r="D4" s="29" t="n">
        <v>0.43</v>
      </c>
      <c r="E4" s="27"/>
      <c r="F4" s="23"/>
      <c r="G4" s="23"/>
      <c r="H4" s="31" t="n">
        <v>0.15</v>
      </c>
      <c r="I4" s="32" t="n">
        <f aca="false">G1*H4</f>
        <v>780000</v>
      </c>
      <c r="J4" s="27" t="n">
        <v>3</v>
      </c>
      <c r="K4" s="32" t="n">
        <f aca="false">I4/J4</f>
        <v>260000</v>
      </c>
      <c r="L4" s="27"/>
      <c r="M4" s="27"/>
      <c r="N4" s="27"/>
      <c r="O4" s="154"/>
    </row>
    <row r="5" customFormat="false" ht="15.75" hidden="false" customHeight="true" outlineLevel="0" collapsed="false">
      <c r="A5" s="28" t="s">
        <v>70</v>
      </c>
      <c r="B5" s="29" t="n">
        <v>0.03</v>
      </c>
      <c r="C5" s="29" t="n">
        <v>0.03</v>
      </c>
      <c r="D5" s="29" t="n">
        <v>0.03</v>
      </c>
      <c r="E5" s="27"/>
      <c r="F5" s="27"/>
      <c r="G5" s="27"/>
      <c r="H5" s="33" t="n">
        <f aca="false">SUM(H2:H4)</f>
        <v>1</v>
      </c>
      <c r="I5" s="34" t="n">
        <f aca="false">SUM(I2:I4)</f>
        <v>5200000</v>
      </c>
      <c r="J5" s="27"/>
      <c r="K5" s="27"/>
      <c r="L5" s="27"/>
      <c r="M5" s="27"/>
      <c r="N5" s="27"/>
      <c r="O5" s="154"/>
    </row>
    <row r="6" customFormat="false" ht="15.75" hidden="false" customHeight="true" outlineLevel="0" collapsed="false">
      <c r="A6" s="28" t="s">
        <v>122</v>
      </c>
      <c r="B6" s="29" t="n">
        <v>0.13</v>
      </c>
      <c r="C6" s="29" t="n">
        <v>0.14</v>
      </c>
      <c r="D6" s="29" t="n">
        <v>0.15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154"/>
    </row>
    <row r="7" customFormat="false" ht="15.75" hidden="false" customHeight="true" outlineLevel="0" collapsed="false">
      <c r="A7" s="35" t="s">
        <v>123</v>
      </c>
      <c r="B7" s="36" t="n">
        <v>0.19</v>
      </c>
      <c r="C7" s="36" t="n">
        <v>0.22</v>
      </c>
      <c r="D7" s="36" t="n">
        <v>0.22</v>
      </c>
      <c r="E7" s="23"/>
      <c r="F7" s="27"/>
      <c r="G7" s="23"/>
      <c r="H7" s="27"/>
      <c r="I7" s="27"/>
      <c r="J7" s="27"/>
      <c r="K7" s="27"/>
      <c r="L7" s="27"/>
      <c r="M7" s="27"/>
      <c r="N7" s="27"/>
      <c r="O7" s="154"/>
    </row>
    <row r="8" customFormat="false" ht="15.75" hidden="false" customHeight="true" outlineLevel="0" collapsed="false">
      <c r="A8" s="155" t="s">
        <v>124</v>
      </c>
      <c r="B8" s="29" t="n">
        <v>0</v>
      </c>
      <c r="C8" s="29" t="n">
        <v>0</v>
      </c>
      <c r="D8" s="29" t="n">
        <v>0</v>
      </c>
      <c r="E8" s="23"/>
      <c r="F8" s="27"/>
      <c r="G8" s="23"/>
      <c r="H8" s="27"/>
      <c r="I8" s="27"/>
      <c r="J8" s="27"/>
      <c r="K8" s="27"/>
      <c r="L8" s="27"/>
      <c r="M8" s="27"/>
      <c r="N8" s="27"/>
      <c r="O8" s="154"/>
    </row>
    <row r="9" customFormat="false" ht="15.75" hidden="false" customHeight="true" outlineLevel="0" collapsed="false">
      <c r="A9" s="37" t="s">
        <v>125</v>
      </c>
      <c r="B9" s="38" t="n">
        <f aca="false">K2</f>
        <v>624000</v>
      </c>
      <c r="C9" s="39" t="n">
        <f aca="false">K3</f>
        <v>325000</v>
      </c>
      <c r="D9" s="40" t="n">
        <f aca="false">K4</f>
        <v>260000</v>
      </c>
      <c r="E9" s="23"/>
      <c r="F9" s="27"/>
      <c r="G9" s="23"/>
      <c r="H9" s="27"/>
      <c r="I9" s="27"/>
      <c r="J9" s="27"/>
      <c r="K9" s="27"/>
      <c r="L9" s="27"/>
      <c r="M9" s="27"/>
      <c r="N9" s="27"/>
      <c r="O9" s="154"/>
    </row>
    <row r="10" customFormat="false" ht="15.75" hidden="false" customHeight="true" outlineLevel="0" collapsed="false">
      <c r="A10" s="37" t="s">
        <v>47</v>
      </c>
      <c r="B10" s="41" t="n">
        <f aca="false">SUM(B2:B8)</f>
        <v>1</v>
      </c>
      <c r="C10" s="42" t="n">
        <f aca="false">SUM(C2:C8)</f>
        <v>1</v>
      </c>
      <c r="D10" s="43" t="n">
        <f aca="false">SUM(D2:D8)</f>
        <v>1</v>
      </c>
      <c r="E10" s="23"/>
      <c r="F10" s="27"/>
      <c r="G10" s="23"/>
      <c r="H10" s="27"/>
      <c r="I10" s="27"/>
      <c r="J10" s="27"/>
      <c r="K10" s="27"/>
      <c r="L10" s="27"/>
      <c r="M10" s="27"/>
      <c r="N10" s="27"/>
      <c r="O10" s="154"/>
    </row>
    <row r="11" customFormat="false" ht="15.75" hidden="false" customHeight="true" outlineLevel="0" collapsed="false">
      <c r="A11" s="27"/>
      <c r="B11" s="23"/>
      <c r="C11" s="23"/>
      <c r="D11" s="23"/>
      <c r="E11" s="23"/>
      <c r="F11" s="23"/>
      <c r="G11" s="23"/>
      <c r="H11" s="23"/>
      <c r="I11" s="27"/>
      <c r="J11" s="27"/>
      <c r="K11" s="27"/>
      <c r="L11" s="27"/>
      <c r="M11" s="27"/>
      <c r="N11" s="27"/>
      <c r="O11" s="154"/>
    </row>
    <row r="12" customFormat="false" ht="15.75" hidden="false" customHeight="true" outlineLevel="0" collapsed="false">
      <c r="A12" s="27"/>
      <c r="B12" s="23"/>
      <c r="C12" s="23"/>
      <c r="D12" s="23"/>
      <c r="E12" s="23"/>
      <c r="F12" s="23"/>
      <c r="G12" s="23"/>
      <c r="H12" s="23"/>
      <c r="I12" s="27"/>
      <c r="J12" s="27"/>
      <c r="K12" s="27"/>
      <c r="L12" s="27"/>
      <c r="M12" s="27"/>
      <c r="N12" s="27"/>
      <c r="O12" s="154"/>
    </row>
    <row r="13" customFormat="false" ht="15.75" hidden="false" customHeight="true" outlineLevel="0" collapsed="false">
      <c r="A13" s="44" t="s">
        <v>125</v>
      </c>
      <c r="B13" s="45" t="n">
        <f aca="false">SUM(B23:F23)/N23</f>
        <v>0.499423076923077</v>
      </c>
      <c r="C13" s="45"/>
      <c r="D13" s="45"/>
      <c r="E13" s="45"/>
      <c r="F13" s="45"/>
      <c r="G13" s="46" t="n">
        <f aca="false">SUM(G23:J23)/N23</f>
        <v>0.3075</v>
      </c>
      <c r="H13" s="46"/>
      <c r="I13" s="46"/>
      <c r="J13" s="46"/>
      <c r="K13" s="47" t="n">
        <f aca="false">SUM(K23:M23)/N23</f>
        <v>0.193076923076923</v>
      </c>
      <c r="L13" s="47"/>
      <c r="M13" s="47"/>
      <c r="N13" s="48" t="s">
        <v>126</v>
      </c>
      <c r="O13" s="156" t="s">
        <v>127</v>
      </c>
    </row>
    <row r="14" customFormat="false" ht="15.75" hidden="false" customHeight="true" outlineLevel="0" collapsed="false">
      <c r="A14" s="49" t="s">
        <v>128</v>
      </c>
      <c r="B14" s="50" t="n">
        <v>46235</v>
      </c>
      <c r="C14" s="51" t="n">
        <v>46266</v>
      </c>
      <c r="D14" s="51" t="n">
        <v>46296</v>
      </c>
      <c r="E14" s="51" t="n">
        <v>46327</v>
      </c>
      <c r="F14" s="51" t="n">
        <v>46357</v>
      </c>
      <c r="G14" s="50" t="n">
        <v>46388</v>
      </c>
      <c r="H14" s="51" t="n">
        <v>46419</v>
      </c>
      <c r="I14" s="51" t="n">
        <v>46447</v>
      </c>
      <c r="J14" s="51" t="n">
        <v>46478</v>
      </c>
      <c r="K14" s="50" t="n">
        <v>46508</v>
      </c>
      <c r="L14" s="51" t="n">
        <v>46539</v>
      </c>
      <c r="M14" s="52" t="n">
        <v>46569</v>
      </c>
      <c r="N14" s="48"/>
      <c r="O14" s="48"/>
    </row>
    <row r="15" customFormat="false" ht="15.75" hidden="false" customHeight="true" outlineLevel="0" collapsed="false">
      <c r="A15" s="49"/>
      <c r="B15" s="53" t="s">
        <v>114</v>
      </c>
      <c r="C15" s="54" t="s">
        <v>114</v>
      </c>
      <c r="D15" s="54" t="s">
        <v>114</v>
      </c>
      <c r="E15" s="54" t="s">
        <v>114</v>
      </c>
      <c r="F15" s="54" t="s">
        <v>115</v>
      </c>
      <c r="G15" s="53" t="s">
        <v>115</v>
      </c>
      <c r="H15" s="54" t="s">
        <v>114</v>
      </c>
      <c r="I15" s="54" t="s">
        <v>115</v>
      </c>
      <c r="J15" s="54" t="s">
        <v>115</v>
      </c>
      <c r="K15" s="53" t="s">
        <v>116</v>
      </c>
      <c r="L15" s="54" t="s">
        <v>116</v>
      </c>
      <c r="M15" s="55" t="s">
        <v>116</v>
      </c>
      <c r="N15" s="48"/>
      <c r="O15" s="48"/>
    </row>
    <row r="16" customFormat="false" ht="15.75" hidden="false" customHeight="true" outlineLevel="0" collapsed="false">
      <c r="A16" s="157" t="str">
        <f aca="false">A$2</f>
        <v>Google SEM</v>
      </c>
      <c r="B16" s="57" t="n">
        <v>36000</v>
      </c>
      <c r="C16" s="58" t="n">
        <v>56160</v>
      </c>
      <c r="D16" s="62" t="n">
        <f aca="false">_xlfn.XLOOKUP(D$15,$B$1:$D$1,$B2:$D2)*D$23</f>
        <v>43680</v>
      </c>
      <c r="E16" s="62" t="n">
        <f aca="false">_xlfn.XLOOKUP(E$15,$B$1:$D$1,$B2:$D2)*E$23</f>
        <v>43680</v>
      </c>
      <c r="F16" s="62" t="n">
        <f aca="false">_xlfn.XLOOKUP(F$15,$B$1:$D$1,$B2:$D2)*F$23</f>
        <v>16250</v>
      </c>
      <c r="G16" s="158" t="n">
        <f aca="false">_xlfn.XLOOKUP(G$15,$B$1:$D$1,$B2:$D2)*G$23</f>
        <v>16250</v>
      </c>
      <c r="H16" s="62" t="n">
        <f aca="false">_xlfn.XLOOKUP(H$15,$B$1:$D$1,$B2:$D2)*H$23</f>
        <v>43680</v>
      </c>
      <c r="I16" s="62" t="n">
        <f aca="false">_xlfn.XLOOKUP(I$15,$B$1:$D$1,$B2:$D2)*I$23</f>
        <v>16250</v>
      </c>
      <c r="J16" s="62" t="n">
        <f aca="false">_xlfn.XLOOKUP(J$15,$B$1:$D$1,$B2:$D2)*J$23</f>
        <v>16250</v>
      </c>
      <c r="K16" s="158" t="n">
        <f aca="false">_xlfn.XLOOKUP(K$15,$B$1:$D$1,$B2:$D2)*K$23</f>
        <v>11160</v>
      </c>
      <c r="L16" s="62" t="n">
        <f aca="false">_xlfn.XLOOKUP(L$15,$B$1:$D$1,$B2:$D2)*L$23</f>
        <v>11160</v>
      </c>
      <c r="M16" s="159" t="n">
        <f aca="false">_xlfn.XLOOKUP(M$15,$B$1:$D$1,$B2:$D2)*M$23</f>
        <v>7800</v>
      </c>
      <c r="N16" s="62" t="n">
        <f aca="false">SUM(B16:M16)</f>
        <v>318320</v>
      </c>
      <c r="O16" s="160" t="n">
        <f aca="false">N16/N30</f>
        <v>1883.59053722924</v>
      </c>
    </row>
    <row r="17" customFormat="false" ht="15.75" hidden="false" customHeight="true" outlineLevel="0" collapsed="false">
      <c r="A17" s="157" t="str">
        <f aca="false">A$3</f>
        <v>Google PMax</v>
      </c>
      <c r="B17" s="57" t="n">
        <v>80000</v>
      </c>
      <c r="C17" s="58" t="n">
        <v>124800</v>
      </c>
      <c r="D17" s="62" t="n">
        <f aca="false">_xlfn.XLOOKUP(D$15,$B$1:$D$1,$B3:$D3)*D$23</f>
        <v>112320</v>
      </c>
      <c r="E17" s="62" t="n">
        <f aca="false">_xlfn.XLOOKUP(E$15,$B$1:$D$1,$B3:$D3)*E$23</f>
        <v>112320</v>
      </c>
      <c r="F17" s="62" t="n">
        <f aca="false">_xlfn.XLOOKUP(F$15,$B$1:$D$1,$B3:$D3)*F$23</f>
        <v>52000</v>
      </c>
      <c r="G17" s="158" t="n">
        <f aca="false">_xlfn.XLOOKUP(G$15,$B$1:$D$1,$B3:$D3)*G$23</f>
        <v>52000</v>
      </c>
      <c r="H17" s="62" t="n">
        <f aca="false">_xlfn.XLOOKUP(H$15,$B$1:$D$1,$B3:$D3)*H$23</f>
        <v>112320</v>
      </c>
      <c r="I17" s="62" t="n">
        <f aca="false">_xlfn.XLOOKUP(I$15,$B$1:$D$1,$B3:$D3)*I$23</f>
        <v>52000</v>
      </c>
      <c r="J17" s="62" t="n">
        <f aca="false">_xlfn.XLOOKUP(J$15,$B$1:$D$1,$B3:$D3)*J$23</f>
        <v>52000</v>
      </c>
      <c r="K17" s="158" t="n">
        <f aca="false">_xlfn.XLOOKUP(K$15,$B$1:$D$1,$B3:$D3)*K$23</f>
        <v>52080</v>
      </c>
      <c r="L17" s="62" t="n">
        <f aca="false">_xlfn.XLOOKUP(L$15,$B$1:$D$1,$B3:$D3)*L$23</f>
        <v>52080</v>
      </c>
      <c r="M17" s="159" t="n">
        <f aca="false">_xlfn.XLOOKUP(M$15,$B$1:$D$1,$B3:$D3)*M$23</f>
        <v>36400</v>
      </c>
      <c r="N17" s="62" t="n">
        <f aca="false">SUM(B17:M17)</f>
        <v>890320</v>
      </c>
      <c r="O17" s="160" t="n">
        <f aca="false">N17/N31</f>
        <v>1223.36004210969</v>
      </c>
    </row>
    <row r="18" customFormat="false" ht="15.75" hidden="false" customHeight="true" outlineLevel="0" collapsed="false">
      <c r="A18" s="157" t="str">
        <f aca="false">A$4</f>
        <v>Meta: FB/IG Forms</v>
      </c>
      <c r="B18" s="57" t="n">
        <v>120000</v>
      </c>
      <c r="C18" s="58" t="n">
        <v>187200</v>
      </c>
      <c r="D18" s="62" t="n">
        <f aca="false">_xlfn.XLOOKUP(D$15,$B$1:$D$1,$B4:$D4)*D$23</f>
        <v>249600</v>
      </c>
      <c r="E18" s="62" t="n">
        <f aca="false">_xlfn.XLOOKUP(E$15,$B$1:$D$1,$B4:$D4)*E$23</f>
        <v>249600</v>
      </c>
      <c r="F18" s="62" t="n">
        <f aca="false">_xlfn.XLOOKUP(F$15,$B$1:$D$1,$B4:$D4)*F$23</f>
        <v>130000</v>
      </c>
      <c r="G18" s="158" t="n">
        <f aca="false">_xlfn.XLOOKUP(G$15,$B$1:$D$1,$B4:$D4)*G$23</f>
        <v>130000</v>
      </c>
      <c r="H18" s="62" t="n">
        <f aca="false">_xlfn.XLOOKUP(H$15,$B$1:$D$1,$B4:$D4)*H$23</f>
        <v>249600</v>
      </c>
      <c r="I18" s="62" t="n">
        <f aca="false">_xlfn.XLOOKUP(I$15,$B$1:$D$1,$B4:$D4)*I$23</f>
        <v>130000</v>
      </c>
      <c r="J18" s="62" t="n">
        <f aca="false">_xlfn.XLOOKUP(J$15,$B$1:$D$1,$B4:$D4)*J$23</f>
        <v>130000</v>
      </c>
      <c r="K18" s="158" t="n">
        <f aca="false">_xlfn.XLOOKUP(K$15,$B$1:$D$1,$B4:$D4)*K$23</f>
        <v>159960</v>
      </c>
      <c r="L18" s="62" t="n">
        <f aca="false">_xlfn.XLOOKUP(L$15,$B$1:$D$1,$B4:$D4)*L$23</f>
        <v>159960</v>
      </c>
      <c r="M18" s="159" t="n">
        <f aca="false">_xlfn.XLOOKUP(M$15,$B$1:$D$1,$B4:$D4)*M$23</f>
        <v>111800</v>
      </c>
      <c r="N18" s="62" t="n">
        <f aca="false">SUM(B18:M18)</f>
        <v>2007720</v>
      </c>
      <c r="O18" s="160" t="n">
        <f aca="false">N18/N32</f>
        <v>579.291295967148</v>
      </c>
    </row>
    <row r="19" customFormat="false" ht="15.75" hidden="false" customHeight="true" outlineLevel="0" collapsed="false">
      <c r="A19" s="157" t="str">
        <f aca="false">A$5</f>
        <v>Meta: Website Leads</v>
      </c>
      <c r="B19" s="57" t="n">
        <v>20000</v>
      </c>
      <c r="C19" s="58" t="n">
        <v>31200</v>
      </c>
      <c r="D19" s="62" t="n">
        <f aca="false">_xlfn.XLOOKUP(D$15,$B$1:$D$1,$B5:$D5)*D$23</f>
        <v>18720</v>
      </c>
      <c r="E19" s="62" t="n">
        <f aca="false">_xlfn.XLOOKUP(E$15,$B$1:$D$1,$B5:$D5)*E$23</f>
        <v>18720</v>
      </c>
      <c r="F19" s="62" t="n">
        <f aca="false">_xlfn.XLOOKUP(F$15,$B$1:$D$1,$B5:$D5)*F$23</f>
        <v>9750</v>
      </c>
      <c r="G19" s="158" t="n">
        <f aca="false">_xlfn.XLOOKUP(G$15,$B$1:$D$1,$B5:$D5)*G$23</f>
        <v>9750</v>
      </c>
      <c r="H19" s="62" t="n">
        <f aca="false">_xlfn.XLOOKUP(H$15,$B$1:$D$1,$B5:$D5)*H$23</f>
        <v>18720</v>
      </c>
      <c r="I19" s="62" t="n">
        <f aca="false">_xlfn.XLOOKUP(I$15,$B$1:$D$1,$B5:$D5)*I$23</f>
        <v>9750</v>
      </c>
      <c r="J19" s="62" t="n">
        <f aca="false">_xlfn.XLOOKUP(J$15,$B$1:$D$1,$B5:$D5)*J$23</f>
        <v>9750</v>
      </c>
      <c r="K19" s="158" t="n">
        <f aca="false">_xlfn.XLOOKUP(K$15,$B$1:$D$1,$B5:$D5)*K$23</f>
        <v>11160</v>
      </c>
      <c r="L19" s="62" t="n">
        <f aca="false">_xlfn.XLOOKUP(L$15,$B$1:$D$1,$B5:$D5)*L$23</f>
        <v>11160</v>
      </c>
      <c r="M19" s="159" t="n">
        <f aca="false">_xlfn.XLOOKUP(M$15,$B$1:$D$1,$B5:$D5)*M$23</f>
        <v>7800</v>
      </c>
      <c r="N19" s="62" t="n">
        <f aca="false">SUM(B19:M19)</f>
        <v>176480</v>
      </c>
      <c r="O19" s="160" t="n">
        <f aca="false">N19/N33</f>
        <v>2715.45989073226</v>
      </c>
    </row>
    <row r="20" customFormat="false" ht="15.75" hidden="false" customHeight="true" outlineLevel="0" collapsed="false">
      <c r="A20" s="157" t="str">
        <f aca="false">A$6</f>
        <v>Meta: Whatsapp</v>
      </c>
      <c r="B20" s="57" t="n">
        <v>60000</v>
      </c>
      <c r="C20" s="58" t="n">
        <v>93600</v>
      </c>
      <c r="D20" s="62" t="n">
        <f aca="false">_xlfn.XLOOKUP(D$15,$B$1:$D$1,$B6:$D6)*D$23</f>
        <v>81120</v>
      </c>
      <c r="E20" s="62" t="n">
        <f aca="false">_xlfn.XLOOKUP(E$15,$B$1:$D$1,$B6:$D6)*E$23</f>
        <v>81120</v>
      </c>
      <c r="F20" s="62" t="n">
        <f aca="false">_xlfn.XLOOKUP(F$15,$B$1:$D$1,$B6:$D6)*F$23</f>
        <v>45500</v>
      </c>
      <c r="G20" s="158" t="n">
        <f aca="false">_xlfn.XLOOKUP(G$15,$B$1:$D$1,$B6:$D6)*G$23</f>
        <v>45500</v>
      </c>
      <c r="H20" s="62" t="n">
        <f aca="false">_xlfn.XLOOKUP(H$15,$B$1:$D$1,$B6:$D6)*H$23</f>
        <v>81120</v>
      </c>
      <c r="I20" s="62" t="n">
        <f aca="false">_xlfn.XLOOKUP(I$15,$B$1:$D$1,$B6:$D6)*I$23</f>
        <v>45500</v>
      </c>
      <c r="J20" s="62" t="n">
        <f aca="false">_xlfn.XLOOKUP(J$15,$B$1:$D$1,$B6:$D6)*J$23</f>
        <v>45500</v>
      </c>
      <c r="K20" s="158" t="n">
        <f aca="false">_xlfn.XLOOKUP(K$15,$B$1:$D$1,$B6:$D6)*K$23</f>
        <v>55800</v>
      </c>
      <c r="L20" s="62" t="n">
        <f aca="false">_xlfn.XLOOKUP(L$15,$B$1:$D$1,$B6:$D6)*L$23</f>
        <v>55800</v>
      </c>
      <c r="M20" s="159" t="n">
        <f aca="false">_xlfn.XLOOKUP(M$15,$B$1:$D$1,$B6:$D6)*M$23</f>
        <v>39000</v>
      </c>
      <c r="N20" s="62" t="n">
        <f aca="false">SUM(B20:M20)</f>
        <v>729560</v>
      </c>
      <c r="O20" s="160" t="n">
        <f aca="false">N20/N34</f>
        <v>2137.54392270061</v>
      </c>
    </row>
    <row r="21" customFormat="false" ht="15.75" hidden="false" customHeight="true" outlineLevel="0" collapsed="false">
      <c r="A21" s="63" t="str">
        <f aca="false">A$7</f>
        <v>Open Day/Tryouts</v>
      </c>
      <c r="B21" s="57" t="n">
        <v>76000</v>
      </c>
      <c r="C21" s="161" t="n">
        <f aca="false">(59280*2)</f>
        <v>118560</v>
      </c>
      <c r="D21" s="64" t="n">
        <f aca="false">_xlfn.XLOOKUP(D$15,$B$1:$D$1,$B7:$D7)*D$23</f>
        <v>118560</v>
      </c>
      <c r="E21" s="64" t="n">
        <f aca="false">_xlfn.XLOOKUP(E$15,$B$1:$D$1,$B7:$D7)*E$23</f>
        <v>118560</v>
      </c>
      <c r="F21" s="64" t="n">
        <f aca="false">_xlfn.XLOOKUP(F$15,$B$1:$D$1,$B7:$D7)*F$23</f>
        <v>71500</v>
      </c>
      <c r="G21" s="65" t="n">
        <f aca="false">_xlfn.XLOOKUP(G$15,$B$1:$D$1,$B7:$D7)*G$23</f>
        <v>71500</v>
      </c>
      <c r="H21" s="64" t="n">
        <f aca="false">_xlfn.XLOOKUP(H$15,$B$1:$D$1,$B7:$D7)*H$23</f>
        <v>118560</v>
      </c>
      <c r="I21" s="64" t="n">
        <f aca="false">_xlfn.XLOOKUP(I$15,$B$1:$D$1,$B7:$D7)*I$23</f>
        <v>71500</v>
      </c>
      <c r="J21" s="64" t="n">
        <f aca="false">_xlfn.XLOOKUP(J$15,$B$1:$D$1,$B7:$D7)*J$23</f>
        <v>71500</v>
      </c>
      <c r="K21" s="65" t="n">
        <f aca="false">_xlfn.XLOOKUP(K$15,$B$1:$D$1,$B7:$D7)*K$23</f>
        <v>81840</v>
      </c>
      <c r="L21" s="64" t="n">
        <f aca="false">_xlfn.XLOOKUP(L$15,$B$1:$D$1,$B7:$D7)*L$23</f>
        <v>81840</v>
      </c>
      <c r="M21" s="66" t="n">
        <f aca="false">_xlfn.XLOOKUP(M$15,$B$1:$D$1,$B7:$D7)*M$23</f>
        <v>57200</v>
      </c>
      <c r="N21" s="67" t="n">
        <f aca="false">SUM(B21:M21)</f>
        <v>1057120</v>
      </c>
      <c r="O21" s="162" t="n">
        <f aca="false">N21/N35</f>
        <v>1434.98070797489</v>
      </c>
      <c r="P21" s="163" t="n">
        <f aca="false">SUM(C21:M21)</f>
        <v>981120</v>
      </c>
    </row>
    <row r="22" customFormat="false" ht="15.75" hidden="false" customHeight="true" outlineLevel="0" collapsed="false">
      <c r="A22" s="68" t="str">
        <f aca="false">A$8</f>
        <v>Interacciones</v>
      </c>
      <c r="B22" s="57" t="n">
        <v>8000</v>
      </c>
      <c r="C22" s="58" t="n">
        <v>12480</v>
      </c>
      <c r="D22" s="69" t="n">
        <f aca="false">_xlfn.XLOOKUP(D$15,$B$1:$D$1,$B8:$D8)*D$23</f>
        <v>0</v>
      </c>
      <c r="E22" s="69" t="n">
        <f aca="false">_xlfn.XLOOKUP(E$15,$B$1:$D$1,$B8:$D8)*E$23</f>
        <v>0</v>
      </c>
      <c r="F22" s="69" t="n">
        <f aca="false">_xlfn.XLOOKUP(F$15,$B$1:$D$1,$B8:$D8)*F$23</f>
        <v>0</v>
      </c>
      <c r="G22" s="70" t="n">
        <f aca="false">_xlfn.XLOOKUP(G$15,$B$1:$D$1,$B8:$D8)*G$23</f>
        <v>0</v>
      </c>
      <c r="H22" s="69" t="n">
        <f aca="false">_xlfn.XLOOKUP(H$15,$B$1:$D$1,$B8:$D8)*H$23</f>
        <v>0</v>
      </c>
      <c r="I22" s="69" t="n">
        <f aca="false">_xlfn.XLOOKUP(I$15,$B$1:$D$1,$B8:$D8)*I$23</f>
        <v>0</v>
      </c>
      <c r="J22" s="69" t="n">
        <f aca="false">_xlfn.XLOOKUP(J$15,$B$1:$D$1,$B8:$D8)*J$23</f>
        <v>0</v>
      </c>
      <c r="K22" s="70" t="n">
        <f aca="false">_xlfn.XLOOKUP(K$15,$B$1:$D$1,$B8:$D8)*K$23</f>
        <v>0</v>
      </c>
      <c r="L22" s="69" t="n">
        <f aca="false">_xlfn.XLOOKUP(L$15,$B$1:$D$1,$B8:$D8)*L$23</f>
        <v>0</v>
      </c>
      <c r="M22" s="71" t="n">
        <f aca="false">_xlfn.XLOOKUP(M$15,$B$1:$D$1,$B8:$D8)*M$23</f>
        <v>0</v>
      </c>
      <c r="N22" s="69" t="n">
        <f aca="false">SUM(B22:M22)</f>
        <v>20480</v>
      </c>
      <c r="O22" s="164" t="n">
        <f aca="false">N22/N37</f>
        <v>1.99255811351836</v>
      </c>
    </row>
    <row r="23" customFormat="false" ht="15.75" hidden="false" customHeight="true" outlineLevel="0" collapsed="false">
      <c r="A23" s="72" t="str">
        <f aca="false">A13</f>
        <v>Presupuestos</v>
      </c>
      <c r="B23" s="73" t="n">
        <v>400000</v>
      </c>
      <c r="C23" s="74" t="n">
        <v>624000</v>
      </c>
      <c r="D23" s="74" t="n">
        <f aca="false">_xlfn.XLOOKUP(D$15,$B$1:$D$1,$B9:$D9)+D24</f>
        <v>624000</v>
      </c>
      <c r="E23" s="74" t="n">
        <f aca="false">_xlfn.XLOOKUP(E$15,$B$1:$D$1,$B9:$D9)+E24</f>
        <v>624000</v>
      </c>
      <c r="F23" s="74" t="n">
        <f aca="false">_xlfn.XLOOKUP(F$15,$B$1:$D$1,$B9:$D9)+F24</f>
        <v>325000</v>
      </c>
      <c r="G23" s="73" t="n">
        <f aca="false">_xlfn.XLOOKUP(G$15,$B$1:$D$1,$B9:$D9)+G24</f>
        <v>325000</v>
      </c>
      <c r="H23" s="74" t="n">
        <f aca="false">_xlfn.XLOOKUP(H$15,$B$1:$D$1,$B9:$D9)+H24</f>
        <v>624000</v>
      </c>
      <c r="I23" s="74" t="n">
        <f aca="false">_xlfn.XLOOKUP(I$15,$B$1:$D$1,$B9:$D9)+I24</f>
        <v>325000</v>
      </c>
      <c r="J23" s="74" t="n">
        <f aca="false">_xlfn.XLOOKUP(J$15,$B$1:$D$1,$B9:$D9)+J24</f>
        <v>325000</v>
      </c>
      <c r="K23" s="73" t="n">
        <f aca="false">_xlfn.XLOOKUP(K$15,$B$1:$D$1,$B9:$D9)+K24</f>
        <v>372000</v>
      </c>
      <c r="L23" s="74" t="n">
        <f aca="false">_xlfn.XLOOKUP(L$15,$B$1:$D$1,$B9:$D9)+L24</f>
        <v>372000</v>
      </c>
      <c r="M23" s="75" t="n">
        <f aca="false">_xlfn.XLOOKUP(M$15,$B$1:$D$1,$B9:$D9)+M24</f>
        <v>260000</v>
      </c>
      <c r="N23" s="74" t="n">
        <f aca="false">SUM(B23:M23)</f>
        <v>5200000</v>
      </c>
      <c r="O23" s="165" t="n">
        <f aca="false">N23/SUM(N30:N35)</f>
        <v>944.499578199077</v>
      </c>
    </row>
    <row r="24" customFormat="false" ht="15.75" hidden="false" customHeight="true" outlineLevel="0" collapsed="false">
      <c r="A24" s="72" t="s">
        <v>157</v>
      </c>
      <c r="B24" s="76" t="n">
        <v>-224000</v>
      </c>
      <c r="C24" s="77"/>
      <c r="D24" s="77"/>
      <c r="E24" s="77"/>
      <c r="F24" s="77"/>
      <c r="G24" s="76"/>
      <c r="H24" s="77"/>
      <c r="I24" s="77"/>
      <c r="J24" s="77"/>
      <c r="K24" s="76" t="n">
        <v>112000</v>
      </c>
      <c r="L24" s="77" t="n">
        <v>112000</v>
      </c>
      <c r="M24" s="166"/>
      <c r="N24" s="74" t="n">
        <f aca="false">SUM(B24:M24)</f>
        <v>0</v>
      </c>
      <c r="O24" s="154"/>
    </row>
    <row r="25" customFormat="false" ht="15.75" hidden="false" customHeight="true" outlineLevel="0" collapsed="false">
      <c r="A25" s="56" t="s">
        <v>158</v>
      </c>
      <c r="B25" s="32" t="n">
        <f aca="false">B21</f>
        <v>76000</v>
      </c>
      <c r="C25" s="32" t="n">
        <f aca="false">C21/2</f>
        <v>59280</v>
      </c>
      <c r="D25" s="32" t="n">
        <f aca="false">D21*35%</f>
        <v>41496</v>
      </c>
      <c r="E25" s="32" t="n">
        <f aca="false">E21*35%</f>
        <v>41496</v>
      </c>
      <c r="F25" s="32" t="n">
        <f aca="false">F21*35%</f>
        <v>25025</v>
      </c>
      <c r="G25" s="32" t="n">
        <f aca="false">G21*35%</f>
        <v>25025</v>
      </c>
      <c r="H25" s="32" t="n">
        <f aca="false">H21*35%</f>
        <v>41496</v>
      </c>
      <c r="I25" s="32" t="n">
        <f aca="false">I21*35%</f>
        <v>25025</v>
      </c>
      <c r="J25" s="32" t="n">
        <f aca="false">J21*35%</f>
        <v>25025</v>
      </c>
      <c r="K25" s="32" t="n">
        <f aca="false">K21*35%</f>
        <v>28644</v>
      </c>
      <c r="L25" s="32" t="n">
        <f aca="false">L21*35%</f>
        <v>28644</v>
      </c>
      <c r="M25" s="32" t="n">
        <f aca="false">M21*35%</f>
        <v>20020</v>
      </c>
      <c r="N25" s="27"/>
      <c r="O25" s="154"/>
    </row>
    <row r="26" customFormat="false" ht="15.75" hidden="false" customHeight="true" outlineLevel="0" collapsed="false">
      <c r="A26" s="56" t="s">
        <v>131</v>
      </c>
      <c r="B26" s="27"/>
      <c r="C26" s="32" t="n">
        <f aca="false">C25</f>
        <v>59280</v>
      </c>
      <c r="D26" s="32" t="n">
        <f aca="false">D21-D25</f>
        <v>77064</v>
      </c>
      <c r="E26" s="32" t="n">
        <f aca="false">E21-E25</f>
        <v>77064</v>
      </c>
      <c r="F26" s="32" t="n">
        <f aca="false">F21-F25</f>
        <v>46475</v>
      </c>
      <c r="G26" s="32" t="n">
        <f aca="false">G21-G25</f>
        <v>46475</v>
      </c>
      <c r="H26" s="32" t="n">
        <f aca="false">H21-H25</f>
        <v>77064</v>
      </c>
      <c r="I26" s="32" t="n">
        <f aca="false">I21-I25</f>
        <v>46475</v>
      </c>
      <c r="J26" s="32" t="n">
        <f aca="false">J21-J25</f>
        <v>46475</v>
      </c>
      <c r="K26" s="32" t="n">
        <f aca="false">K21-K25</f>
        <v>53196</v>
      </c>
      <c r="L26" s="32" t="n">
        <f aca="false">L21-L25</f>
        <v>53196</v>
      </c>
      <c r="M26" s="32" t="n">
        <f aca="false">M21-M25</f>
        <v>37180</v>
      </c>
      <c r="N26" s="27"/>
      <c r="O26" s="154"/>
    </row>
    <row r="27" customFormat="false" ht="15.75" hidden="false" customHeight="true" outlineLevel="0" collapsed="false">
      <c r="A27" s="27"/>
      <c r="B27" s="27"/>
      <c r="C27" s="27"/>
      <c r="D27" s="27"/>
      <c r="E27" s="27"/>
      <c r="F27" s="27"/>
      <c r="G27" s="27"/>
      <c r="H27" s="32"/>
      <c r="I27" s="27"/>
      <c r="J27" s="27"/>
      <c r="K27" s="27"/>
      <c r="L27" s="27"/>
      <c r="M27" s="27"/>
      <c r="N27" s="27"/>
      <c r="O27" s="154"/>
    </row>
    <row r="28" customFormat="false" ht="15.75" hidden="false" customHeight="true" outlineLevel="0" collapsed="false">
      <c r="A28" s="85" t="s">
        <v>132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6" t="s">
        <v>126</v>
      </c>
      <c r="O28" s="154"/>
    </row>
    <row r="29" customFormat="false" ht="15.75" hidden="false" customHeight="true" outlineLevel="0" collapsed="false">
      <c r="A29" s="87" t="s">
        <v>133</v>
      </c>
      <c r="B29" s="50" t="n">
        <f aca="false">B$14</f>
        <v>46235</v>
      </c>
      <c r="C29" s="51" t="n">
        <f aca="false">C$14</f>
        <v>46266</v>
      </c>
      <c r="D29" s="51" t="n">
        <f aca="false">D$14</f>
        <v>46296</v>
      </c>
      <c r="E29" s="51" t="n">
        <f aca="false">E$14</f>
        <v>46327</v>
      </c>
      <c r="F29" s="51" t="n">
        <f aca="false">F$14</f>
        <v>46357</v>
      </c>
      <c r="G29" s="50" t="n">
        <f aca="false">G$14</f>
        <v>46388</v>
      </c>
      <c r="H29" s="51" t="n">
        <f aca="false">H$14</f>
        <v>46419</v>
      </c>
      <c r="I29" s="51" t="n">
        <f aca="false">I$14</f>
        <v>46447</v>
      </c>
      <c r="J29" s="52" t="n">
        <f aca="false">J$14</f>
        <v>46478</v>
      </c>
      <c r="K29" s="51" t="n">
        <f aca="false">K$14</f>
        <v>46508</v>
      </c>
      <c r="L29" s="51" t="n">
        <f aca="false">L$14</f>
        <v>46539</v>
      </c>
      <c r="M29" s="52" t="n">
        <f aca="false">M$14</f>
        <v>46569</v>
      </c>
      <c r="N29" s="86"/>
      <c r="O29" s="154"/>
    </row>
    <row r="30" customFormat="false" ht="15.75" hidden="false" customHeight="true" outlineLevel="0" collapsed="false">
      <c r="A30" s="157" t="str">
        <f aca="false">A$2</f>
        <v>Google SEM</v>
      </c>
      <c r="B30" s="92" t="n">
        <f aca="false">IF(B93,B16/B93,"")</f>
        <v>20.1786279407408</v>
      </c>
      <c r="C30" s="90" t="n">
        <f aca="false">IF(C93,C16/C93,"")</f>
        <v>23.190430974091</v>
      </c>
      <c r="D30" s="90" t="n">
        <f aca="false">IF(D93,D16/D93,"")</f>
        <v>22.491696918205</v>
      </c>
      <c r="E30" s="90" t="n">
        <f aca="false">IF(E93,E16/E93,"")</f>
        <v>22.7181708959843</v>
      </c>
      <c r="F30" s="90" t="n">
        <f aca="false">IF(F93,F16/F93,"")</f>
        <v>8.60881542699725</v>
      </c>
      <c r="G30" s="92" t="n">
        <f aca="false">IF(G93,G16/G93,"")</f>
        <v>8.73252152230689</v>
      </c>
      <c r="H30" s="90" t="n">
        <f aca="false">IF(H93,H16/H93,"")</f>
        <v>22.8758169934641</v>
      </c>
      <c r="I30" s="90" t="n">
        <f aca="false">IF(I93,I16/I93,"")</f>
        <v>9.64117046775993</v>
      </c>
      <c r="J30" s="91" t="n">
        <f aca="false">IF(J93,J16/J93,"")</f>
        <v>12.8363113575683</v>
      </c>
      <c r="K30" s="90" t="n">
        <f aca="false">IF(K93,K16/K93,"")</f>
        <v>6.68343514193317</v>
      </c>
      <c r="L30" s="90" t="n">
        <f aca="false">IF(L93,L16/L93,"")</f>
        <v>5.83401292265228</v>
      </c>
      <c r="M30" s="91" t="n">
        <f aca="false">IF(M93,M16/M93,"")</f>
        <v>5.20537889152124</v>
      </c>
      <c r="N30" s="92" t="n">
        <f aca="false">SUM(B30:M30)</f>
        <v>168.996389453224</v>
      </c>
      <c r="O30" s="154"/>
    </row>
    <row r="31" customFormat="false" ht="15.75" hidden="false" customHeight="true" outlineLevel="0" collapsed="false">
      <c r="A31" s="157" t="str">
        <f aca="false">A$3</f>
        <v>Google PMax</v>
      </c>
      <c r="B31" s="92" t="n">
        <f aca="false">IF(B94,B17/B94,"")</f>
        <v>65.8030455623578</v>
      </c>
      <c r="C31" s="90" t="n">
        <f aca="false">IF(C94,C17/C94,"")</f>
        <v>82.5273034441659</v>
      </c>
      <c r="D31" s="90" t="n">
        <f aca="false">IF(D94,D17/D94,"")</f>
        <v>84.3876784372652</v>
      </c>
      <c r="E31" s="90" t="n">
        <f aca="false">IF(E94,E17/E94,"")</f>
        <v>97.7120487168334</v>
      </c>
      <c r="F31" s="90" t="n">
        <f aca="false">IF(F94,F17/F94,"")</f>
        <v>45.3277545327755</v>
      </c>
      <c r="G31" s="92" t="n">
        <f aca="false">IF(G94,G17/G94,"")</f>
        <v>48.6399521083549</v>
      </c>
      <c r="H31" s="90" t="n">
        <f aca="false">IF(H94,H17/H94,"")</f>
        <v>109.090909090909</v>
      </c>
      <c r="I31" s="90" t="n">
        <f aca="false">IF(I94,I17/I94,"")</f>
        <v>49.8084291187739</v>
      </c>
      <c r="J31" s="91" t="n">
        <f aca="false">IF(J94,J17/J94,"")</f>
        <v>41.2286126571841</v>
      </c>
      <c r="K31" s="90" t="n">
        <f aca="false">IF(K94,K17/K94,"")</f>
        <v>36.4629279563117</v>
      </c>
      <c r="L31" s="90" t="n">
        <f aca="false">IF(L94,L17/L94,"")</f>
        <v>41.4557264304136</v>
      </c>
      <c r="M31" s="91" t="n">
        <f aca="false">IF(M94,M17/M94,"")</f>
        <v>25.3217391304348</v>
      </c>
      <c r="N31" s="92" t="n">
        <f aca="false">SUM(B31:M31)</f>
        <v>727.76612718578</v>
      </c>
      <c r="O31" s="154"/>
    </row>
    <row r="32" customFormat="false" ht="15.75" hidden="false" customHeight="true" outlineLevel="0" collapsed="false">
      <c r="A32" s="157" t="str">
        <f aca="false">A$4</f>
        <v>Meta: FB/IG Forms</v>
      </c>
      <c r="B32" s="92" t="n">
        <f aca="false">IF(B95,B18/B95,"")</f>
        <v>199.137006592431</v>
      </c>
      <c r="C32" s="90" t="n">
        <f aca="false">IF(C95,C18/C95,"")</f>
        <v>268.034329012139</v>
      </c>
      <c r="D32" s="90" t="n">
        <f aca="false">IF(D95,D18/D95,"")</f>
        <v>407.669944141378</v>
      </c>
      <c r="E32" s="90" t="n">
        <f aca="false">IF(E95,E18/E95,"")</f>
        <v>446.495653107223</v>
      </c>
      <c r="F32" s="90" t="n">
        <f aca="false">IF(F95,F18/F95,"")</f>
        <v>247.336377473364</v>
      </c>
      <c r="G32" s="92" t="n">
        <f aca="false">IF(G95,G18/G95,"")</f>
        <v>224.835696990661</v>
      </c>
      <c r="H32" s="90" t="n">
        <f aca="false">IF(H95,H18/H95,"")</f>
        <v>431.848852901484</v>
      </c>
      <c r="I32" s="90" t="n">
        <f aca="false">IF(I95,I18/I95,"")</f>
        <v>278.778521187168</v>
      </c>
      <c r="J32" s="91" t="n">
        <f aca="false">IF(J95,J18/J95,"")</f>
        <v>208.855472013367</v>
      </c>
      <c r="K32" s="90" t="n">
        <f aca="false">IF(K95,K18/K95,"")</f>
        <v>261.457992808107</v>
      </c>
      <c r="L32" s="90" t="n">
        <f aca="false">IF(L95,L18/L95,"")</f>
        <v>290.508880897897</v>
      </c>
      <c r="M32" s="91" t="n">
        <f aca="false">IF(M95,M18/M95,"")</f>
        <v>200.862378727991</v>
      </c>
      <c r="N32" s="92" t="n">
        <f aca="false">SUM(B32:M32)</f>
        <v>3465.82110585321</v>
      </c>
      <c r="O32" s="154"/>
    </row>
    <row r="33" customFormat="false" ht="15.75" hidden="false" customHeight="true" outlineLevel="0" collapsed="false">
      <c r="A33" s="157" t="str">
        <f aca="false">A$5</f>
        <v>Meta: Website Leads</v>
      </c>
      <c r="B33" s="92" t="n">
        <f aca="false">IF(B96,B19/B96,"")</f>
        <v>8.50170548761344</v>
      </c>
      <c r="C33" s="90" t="n">
        <f aca="false">IF(C96,C19/C96,"")</f>
        <v>8.48552510267002</v>
      </c>
      <c r="D33" s="90" t="n">
        <f aca="false">IF(D96,D19/D96,"")</f>
        <v>6.74793917775301</v>
      </c>
      <c r="E33" s="90" t="n">
        <f aca="false">IF(E96,E19/E96,"")</f>
        <v>6.68100242285696</v>
      </c>
      <c r="F33" s="90" t="n">
        <f aca="false">IF(F96,F19/F96,"")</f>
        <v>3.42805828365708</v>
      </c>
      <c r="G33" s="92" t="n">
        <f aca="false">IF(G96,G19/G96,"")</f>
        <v>3.49425844704241</v>
      </c>
      <c r="H33" s="90" t="n">
        <f aca="false">IF(H96,H19/H96,"")</f>
        <v>6.47462706957408</v>
      </c>
      <c r="I33" s="90" t="n">
        <f aca="false">IF(I96,I19/I96,"")</f>
        <v>4.00314816440161</v>
      </c>
      <c r="J33" s="91" t="n">
        <f aca="false">IF(J96,J19/J96,"")</f>
        <v>5.81398566810672</v>
      </c>
      <c r="K33" s="90" t="n">
        <f aca="false">IF(K96,K19/K96,"")</f>
        <v>4.31616646448495</v>
      </c>
      <c r="L33" s="90" t="n">
        <f aca="false">IF(L96,L19/L96,"")</f>
        <v>3.68285452304076</v>
      </c>
      <c r="M33" s="91" t="n">
        <f aca="false">IF(M96,M19/M96,"")</f>
        <v>3.36156208687197</v>
      </c>
      <c r="N33" s="92" t="n">
        <f aca="false">SUM(B33:M33)</f>
        <v>64.990832898073</v>
      </c>
      <c r="O33" s="154"/>
    </row>
    <row r="34" customFormat="false" ht="15.75" hidden="false" customHeight="true" outlineLevel="0" collapsed="false">
      <c r="A34" s="157" t="str">
        <f aca="false">A$6</f>
        <v>Meta: Whatsapp</v>
      </c>
      <c r="B34" s="92" t="n">
        <f aca="false">IF(B97,B20/B97,"")*10%</f>
        <v>26.4551197711456</v>
      </c>
      <c r="C34" s="90" t="n">
        <f aca="false">IF(C97,C20/C97,"")*10%</f>
        <v>36.9149075884982</v>
      </c>
      <c r="D34" s="90" t="n">
        <f aca="false">IF(D97,D20/D97,"")*10%</f>
        <v>37.8764532847738</v>
      </c>
      <c r="E34" s="90" t="n">
        <f aca="false">IF(E97,E20/E97,"")*10%</f>
        <v>38.3093270365998</v>
      </c>
      <c r="F34" s="90" t="n">
        <f aca="false">IF(F97,F20/F97,"")*10%</f>
        <v>20.4954954954955</v>
      </c>
      <c r="G34" s="92" t="n">
        <f aca="false">IF(G97,G20/G97,"")*10%</f>
        <v>21.0706677780865</v>
      </c>
      <c r="H34" s="90" t="n">
        <f aca="false">IF(H97,H20/H97,"")*10%</f>
        <v>43.064182194617</v>
      </c>
      <c r="I34" s="90" t="n">
        <f aca="false">IF(I97,I20/I97,"")*10%</f>
        <v>22.9380923573301</v>
      </c>
      <c r="J34" s="91" t="n">
        <f aca="false">IF(J97,J20/J97,"")*10%</f>
        <v>21.3675213675214</v>
      </c>
      <c r="K34" s="90" t="n">
        <f aca="false">IF(K97,K20/K97,"")*10%</f>
        <v>25.0112057373375</v>
      </c>
      <c r="L34" s="90" t="n">
        <f aca="false">IF(L97,L20/L97,"")*10%</f>
        <v>25.4934210526316</v>
      </c>
      <c r="M34" s="91" t="n">
        <f aca="false">IF(M97,M20/M97,"")*10%</f>
        <v>22.3112128146453</v>
      </c>
      <c r="N34" s="92" t="n">
        <f aca="false">SUM(B34:M34)</f>
        <v>341.307606478682</v>
      </c>
      <c r="O34" s="154"/>
    </row>
    <row r="35" customFormat="false" ht="15.75" hidden="false" customHeight="true" outlineLevel="0" collapsed="false">
      <c r="A35" s="63" t="str">
        <f aca="false">A$7</f>
        <v>Open Day/Tryouts</v>
      </c>
      <c r="B35" s="93" t="n">
        <f aca="false">IF(B98,B25/B98,"")</f>
        <v>103.477356567449</v>
      </c>
      <c r="C35" s="94" t="n">
        <f aca="false">IF(C98,C25/C98,"")</f>
        <v>92.7403022789428</v>
      </c>
      <c r="D35" s="94" t="n">
        <f aca="false">IF(D98,D25/D98,"")</f>
        <v>67.5082970000651</v>
      </c>
      <c r="E35" s="94" t="n">
        <f aca="false">IF(E98,E25/E98,"")</f>
        <v>73.5927357854787</v>
      </c>
      <c r="F35" s="94" t="n">
        <f aca="false">IF(F98,F25/F98,"")</f>
        <v>38.6904761904762</v>
      </c>
      <c r="G35" s="93" t="n">
        <f aca="false">IF(G98,G25/G98,"")</f>
        <v>44.6476360392507</v>
      </c>
      <c r="H35" s="94" t="n">
        <f aca="false">IF(H98,H25/H98,"")</f>
        <v>79.2551210428306</v>
      </c>
      <c r="I35" s="167" t="n">
        <f aca="false">IF(I98,I25/I98,"")</f>
        <v>51.3649425287356</v>
      </c>
      <c r="J35" s="95" t="n">
        <f aca="false">IF(J98,J25/J98,"")</f>
        <v>39.8303331264225</v>
      </c>
      <c r="K35" s="94" t="n">
        <f aca="false">IF(K98,K25/K98,"")</f>
        <v>57.2593703148426</v>
      </c>
      <c r="L35" s="94" t="n">
        <f aca="false">IF(L98,L25/L98,"")</f>
        <v>52.5655142039198</v>
      </c>
      <c r="M35" s="95" t="n">
        <f aca="false">IF(M98,M25/M98,"")</f>
        <v>35.7468083206857</v>
      </c>
      <c r="N35" s="93" t="n">
        <f aca="false">SUM(B35:M35)</f>
        <v>736.678893399099</v>
      </c>
      <c r="O35" s="154"/>
    </row>
    <row r="36" customFormat="false" ht="15.75" hidden="false" customHeight="true" outlineLevel="0" collapsed="false">
      <c r="A36" s="96" t="str">
        <f aca="false">A28</f>
        <v>Proyección Leads</v>
      </c>
      <c r="B36" s="97" t="n">
        <f aca="false">SUM(B30:B35)</f>
        <v>423.552861921737</v>
      </c>
      <c r="C36" s="98" t="n">
        <f aca="false">SUM(C30:C35)</f>
        <v>511.892798400507</v>
      </c>
      <c r="D36" s="98" t="n">
        <f aca="false">SUM(D30:D35)</f>
        <v>626.68200895944</v>
      </c>
      <c r="E36" s="98" t="n">
        <f aca="false">SUM(E30:E35)</f>
        <v>685.508937964976</v>
      </c>
      <c r="F36" s="98" t="n">
        <f aca="false">SUM(F30:F35)</f>
        <v>363.886977402765</v>
      </c>
      <c r="G36" s="97" t="n">
        <f aca="false">SUM(G30:G35)</f>
        <v>351.420732885702</v>
      </c>
      <c r="H36" s="98" t="n">
        <f aca="false">SUM(H30:H35)</f>
        <v>692.609509292879</v>
      </c>
      <c r="I36" s="98" t="n">
        <f aca="false">SUM(I30:I35)</f>
        <v>416.534303824169</v>
      </c>
      <c r="J36" s="99" t="n">
        <f aca="false">SUM(J30:J35)</f>
        <v>329.93223619017</v>
      </c>
      <c r="K36" s="98" t="n">
        <f aca="false">SUM(K30:K35)</f>
        <v>391.191098423017</v>
      </c>
      <c r="L36" s="98" t="n">
        <f aca="false">SUM(L30:L35)</f>
        <v>419.540410030555</v>
      </c>
      <c r="M36" s="99" t="n">
        <f aca="false">SUM(M30:M35)</f>
        <v>292.80907997215</v>
      </c>
      <c r="N36" s="97" t="n">
        <f aca="false">SUM(B36:M36)</f>
        <v>5505.56095526807</v>
      </c>
      <c r="O36" s="168" t="n">
        <v>5485</v>
      </c>
      <c r="P36" s="101" t="n">
        <f aca="false">O36-N36</f>
        <v>-20.560955268068</v>
      </c>
    </row>
    <row r="37" customFormat="false" ht="15.75" hidden="false" customHeight="true" outlineLevel="0" collapsed="false">
      <c r="A37" s="68" t="str">
        <f aca="false">A$8</f>
        <v>Interacciones</v>
      </c>
      <c r="B37" s="102" t="n">
        <f aca="false">IF(B99,B22/B99,"")</f>
        <v>4364.7775545679</v>
      </c>
      <c r="C37" s="103" t="n">
        <f aca="false">IF(C99,C22/C99,"")</f>
        <v>5913.46721081937</v>
      </c>
      <c r="D37" s="103" t="n">
        <f aca="false">IF(D99,D22/D99,"")</f>
        <v>0</v>
      </c>
      <c r="E37" s="103" t="n">
        <f aca="false">IF(E99,E22/E99,"")</f>
        <v>0</v>
      </c>
      <c r="F37" s="103" t="n">
        <f aca="false">IF(F99,F22/F99,"")</f>
        <v>0</v>
      </c>
      <c r="G37" s="102" t="n">
        <f aca="false">IF(G99,G22/G99,"")</f>
        <v>0</v>
      </c>
      <c r="H37" s="103" t="n">
        <f aca="false">IF(H99,H22/H99,"")</f>
        <v>0</v>
      </c>
      <c r="I37" s="103" t="n">
        <f aca="false">IF(I99,I22/I99,"")</f>
        <v>0</v>
      </c>
      <c r="J37" s="104" t="n">
        <f aca="false">IF(J99,J22/J99,"")</f>
        <v>0</v>
      </c>
      <c r="K37" s="103" t="n">
        <f aca="false">IF(K99,K22/K99,"")</f>
        <v>0</v>
      </c>
      <c r="L37" s="103" t="n">
        <f aca="false">IF(L99,L22/L99,"")</f>
        <v>0</v>
      </c>
      <c r="M37" s="104" t="n">
        <f aca="false">IF(M99,M22/M99,"")</f>
        <v>0</v>
      </c>
      <c r="N37" s="102" t="n">
        <f aca="false">SUM(B37:M37)</f>
        <v>10278.2447653873</v>
      </c>
      <c r="O37" s="105" t="s">
        <v>134</v>
      </c>
    </row>
    <row r="38" customFormat="false" ht="15.75" hidden="false" customHeight="true" outlineLevel="0" collapsed="false">
      <c r="A38" s="169" t="n">
        <v>0.45</v>
      </c>
      <c r="B38" s="170" t="n">
        <f aca="false">B36*$A38</f>
        <v>190.598787864782</v>
      </c>
      <c r="C38" s="167" t="n">
        <f aca="false">C36*$A38</f>
        <v>230.351759280228</v>
      </c>
      <c r="D38" s="167" t="n">
        <f aca="false">D36*$A38</f>
        <v>282.006904031748</v>
      </c>
      <c r="E38" s="167" t="n">
        <f aca="false">E36*$A38</f>
        <v>308.479022084239</v>
      </c>
      <c r="F38" s="167" t="n">
        <f aca="false">F36*$A38</f>
        <v>163.749139831244</v>
      </c>
      <c r="G38" s="170" t="n">
        <f aca="false">G36*$A38</f>
        <v>158.139329798566</v>
      </c>
      <c r="H38" s="167" t="n">
        <f aca="false">H36*$A38</f>
        <v>311.674279181796</v>
      </c>
      <c r="I38" s="167" t="n">
        <f aca="false">I36*$A38</f>
        <v>187.440436720876</v>
      </c>
      <c r="J38" s="171" t="n">
        <f aca="false">J36*$A38</f>
        <v>148.469506285576</v>
      </c>
      <c r="K38" s="167" t="n">
        <f aca="false">K36*$A38</f>
        <v>176.035994290358</v>
      </c>
      <c r="L38" s="167" t="n">
        <f aca="false">L36*$A38</f>
        <v>188.79318451375</v>
      </c>
      <c r="M38" s="171" t="n">
        <f aca="false">M36*$A38</f>
        <v>131.764085987468</v>
      </c>
      <c r="N38" s="172" t="n">
        <f aca="false">SUM(B38:M38)</f>
        <v>2477.50242987063</v>
      </c>
      <c r="O38" s="109" t="s">
        <v>135</v>
      </c>
      <c r="P38" s="15" t="n">
        <f aca="false">SUM(B55:C55)</f>
        <v>1512.6</v>
      </c>
    </row>
    <row r="39" customFormat="false" ht="15.75" hidden="false" customHeight="true" outlineLevel="0" collapsed="false">
      <c r="A39" s="169" t="n">
        <v>0.35</v>
      </c>
      <c r="B39" s="170" t="n">
        <f aca="false">B38*$A39</f>
        <v>66.7095757526736</v>
      </c>
      <c r="C39" s="167" t="n">
        <f aca="false">C38*$A39</f>
        <v>80.6231157480798</v>
      </c>
      <c r="D39" s="167" t="n">
        <f aca="false">D38*$A39</f>
        <v>98.7024164111118</v>
      </c>
      <c r="E39" s="167" t="n">
        <f aca="false">E38*$A39</f>
        <v>107.967657729484</v>
      </c>
      <c r="F39" s="167" t="n">
        <f aca="false">F38*$A39</f>
        <v>57.3121989409355</v>
      </c>
      <c r="G39" s="170" t="n">
        <f aca="false">G38*$A39</f>
        <v>55.3487654294981</v>
      </c>
      <c r="H39" s="167" t="n">
        <f aca="false">H38*$A39</f>
        <v>109.085997713628</v>
      </c>
      <c r="I39" s="167" t="n">
        <f aca="false">I38*$A39</f>
        <v>65.6041528523066</v>
      </c>
      <c r="J39" s="171" t="n">
        <f aca="false">J38*$A39</f>
        <v>51.9643271999517</v>
      </c>
      <c r="K39" s="167" t="n">
        <f aca="false">K38*$A39</f>
        <v>61.6125980016252</v>
      </c>
      <c r="L39" s="167" t="n">
        <f aca="false">L38*$A39</f>
        <v>66.0776145798124</v>
      </c>
      <c r="M39" s="171" t="n">
        <f aca="false">M38*$A39</f>
        <v>46.1174300956137</v>
      </c>
      <c r="N39" s="172" t="n">
        <f aca="false">SUM(B39:M39)</f>
        <v>867.125850454721</v>
      </c>
      <c r="O39" s="109" t="s">
        <v>136</v>
      </c>
      <c r="P39" s="15" t="n">
        <f aca="false">SUM(D36:M36)</f>
        <v>4570.11529494582</v>
      </c>
    </row>
    <row r="40" customFormat="false" ht="15.75" hidden="false" customHeight="true" outlineLevel="0" collapsed="false">
      <c r="A40" s="173" t="n">
        <v>0.85</v>
      </c>
      <c r="B40" s="107" t="n">
        <f aca="false">B39*$A40</f>
        <v>56.7031393897726</v>
      </c>
      <c r="C40" s="100" t="n">
        <f aca="false">C39*$A40</f>
        <v>68.5296483858678</v>
      </c>
      <c r="D40" s="100" t="n">
        <f aca="false">D39*$A40</f>
        <v>83.897053949445</v>
      </c>
      <c r="E40" s="100" t="n">
        <f aca="false">E39*$A40</f>
        <v>91.7725090700612</v>
      </c>
      <c r="F40" s="100" t="n">
        <f aca="false">F39*$A40</f>
        <v>48.7153690997952</v>
      </c>
      <c r="G40" s="107" t="n">
        <f aca="false">G39*$A40</f>
        <v>47.0464506150734</v>
      </c>
      <c r="H40" s="100" t="n">
        <f aca="false">H39*$A40</f>
        <v>92.7230980565842</v>
      </c>
      <c r="I40" s="100" t="n">
        <f aca="false">I39*$A40</f>
        <v>55.7635299244606</v>
      </c>
      <c r="J40" s="108" t="n">
        <f aca="false">J39*$A40</f>
        <v>44.169678119959</v>
      </c>
      <c r="K40" s="100" t="n">
        <f aca="false">K39*$A40</f>
        <v>52.3707083013814</v>
      </c>
      <c r="L40" s="100" t="n">
        <f aca="false">L39*$A40</f>
        <v>56.1659723928405</v>
      </c>
      <c r="M40" s="108" t="n">
        <f aca="false">M39*$A40</f>
        <v>39.1998155812716</v>
      </c>
      <c r="N40" s="97" t="n">
        <f aca="false">SUM(B40:M40)</f>
        <v>737.056972886513</v>
      </c>
      <c r="O40" s="109" t="s">
        <v>159</v>
      </c>
      <c r="P40" s="15" t="n">
        <f aca="false">'Eventos Elisia'!C18</f>
        <v>78</v>
      </c>
    </row>
    <row r="41" customFormat="false" ht="15.75" hidden="false" customHeight="true" outlineLevel="0" collapsed="false">
      <c r="A41" s="173" t="n">
        <v>0.6</v>
      </c>
      <c r="B41" s="107" t="n">
        <f aca="false">B40*$A41</f>
        <v>34.0218836338635</v>
      </c>
      <c r="C41" s="100" t="n">
        <f aca="false">C40*$A41</f>
        <v>41.1177890315207</v>
      </c>
      <c r="D41" s="100" t="n">
        <f aca="false">D40*$A41</f>
        <v>50.338232369667</v>
      </c>
      <c r="E41" s="100" t="n">
        <f aca="false">E40*$A41</f>
        <v>55.0635054420367</v>
      </c>
      <c r="F41" s="100" t="n">
        <f aca="false">F40*$A41</f>
        <v>29.2292214598771</v>
      </c>
      <c r="G41" s="107" t="n">
        <f aca="false">G40*$A41</f>
        <v>28.227870369044</v>
      </c>
      <c r="H41" s="100" t="n">
        <f aca="false">H40*$A41</f>
        <v>55.6338588339505</v>
      </c>
      <c r="I41" s="100" t="n">
        <f aca="false">I40*$A41</f>
        <v>33.4581179546764</v>
      </c>
      <c r="J41" s="108" t="n">
        <f aca="false">J40*$A41</f>
        <v>26.5018068719754</v>
      </c>
      <c r="K41" s="100" t="n">
        <f aca="false">K40*$A41</f>
        <v>31.4224249808288</v>
      </c>
      <c r="L41" s="100" t="n">
        <f aca="false">L40*$A41</f>
        <v>33.6995834357043</v>
      </c>
      <c r="M41" s="108" t="n">
        <f aca="false">M40*$A41</f>
        <v>23.519889348763</v>
      </c>
      <c r="N41" s="97" t="n">
        <f aca="false">SUM(B41:M41)</f>
        <v>442.234183731908</v>
      </c>
      <c r="O41" s="109" t="s">
        <v>160</v>
      </c>
      <c r="P41" s="15" t="n">
        <f aca="false">SUMPRODUCT(D26:M26/'Eventos Elisia'!D38:M38)</f>
        <v>883.116393266883</v>
      </c>
    </row>
    <row r="42" customFormat="false" ht="15.75" hidden="false" customHeight="true" outlineLevel="0" collapsed="false">
      <c r="A42" s="173" t="n">
        <v>0.3</v>
      </c>
      <c r="B42" s="107" t="n">
        <f aca="false">B41*$A42</f>
        <v>10.2065650901591</v>
      </c>
      <c r="C42" s="100" t="n">
        <f aca="false">C41*$A42</f>
        <v>12.3353367094562</v>
      </c>
      <c r="D42" s="100" t="n">
        <f aca="false">D41*$A42</f>
        <v>15.1014697109001</v>
      </c>
      <c r="E42" s="100" t="n">
        <f aca="false">E41*$A42</f>
        <v>16.519051632611</v>
      </c>
      <c r="F42" s="100" t="n">
        <f aca="false">F41*$A42</f>
        <v>8.76876643796313</v>
      </c>
      <c r="G42" s="107" t="n">
        <f aca="false">G41*$A42</f>
        <v>8.4683611107132</v>
      </c>
      <c r="H42" s="100" t="n">
        <f aca="false">H41*$A42</f>
        <v>16.6901576501852</v>
      </c>
      <c r="I42" s="100" t="n">
        <f aca="false">I41*$A42</f>
        <v>10.0374353864029</v>
      </c>
      <c r="J42" s="108" t="n">
        <f aca="false">J41*$A42</f>
        <v>7.95054206159261</v>
      </c>
      <c r="K42" s="100" t="n">
        <f aca="false">K41*$A42</f>
        <v>9.42672749424865</v>
      </c>
      <c r="L42" s="100" t="n">
        <f aca="false">L41*$A42</f>
        <v>10.1098750307113</v>
      </c>
      <c r="M42" s="108" t="n">
        <f aca="false">M41*$A42</f>
        <v>7.05596680462889</v>
      </c>
      <c r="N42" s="97" t="n">
        <f aca="false">SUM(B42:M42)</f>
        <v>132.670255119572</v>
      </c>
      <c r="O42" s="105" t="s">
        <v>161</v>
      </c>
      <c r="P42" s="110" t="n">
        <f aca="false">P38+P39+P40+P41</f>
        <v>7043.83168821271</v>
      </c>
    </row>
    <row r="43" customFormat="false" ht="15.75" hidden="false" customHeight="true" outlineLevel="0" collapsed="false">
      <c r="A43" s="173" t="n">
        <v>0.9</v>
      </c>
      <c r="B43" s="107" t="n">
        <f aca="false">B42*$A43</f>
        <v>9.18590858114316</v>
      </c>
      <c r="C43" s="100" t="n">
        <f aca="false">C42*$A43</f>
        <v>11.1018030385106</v>
      </c>
      <c r="D43" s="100" t="n">
        <f aca="false">D42*$A43</f>
        <v>13.5913227398101</v>
      </c>
      <c r="E43" s="100" t="n">
        <f aca="false">E42*$A43</f>
        <v>14.8671464693499</v>
      </c>
      <c r="F43" s="100" t="n">
        <f aca="false">F42*$A43</f>
        <v>7.89188979416682</v>
      </c>
      <c r="G43" s="107" t="n">
        <f aca="false">G42*$A43</f>
        <v>7.62152499964188</v>
      </c>
      <c r="H43" s="100" t="n">
        <f aca="false">H42*$A43</f>
        <v>15.0211418851666</v>
      </c>
      <c r="I43" s="100" t="n">
        <f aca="false">I42*$A43</f>
        <v>9.03369184776262</v>
      </c>
      <c r="J43" s="108" t="n">
        <f aca="false">J42*$A43</f>
        <v>7.15548785543335</v>
      </c>
      <c r="K43" s="100" t="n">
        <f aca="false">K42*$A43</f>
        <v>8.48405474482379</v>
      </c>
      <c r="L43" s="100" t="n">
        <f aca="false">L42*$A43</f>
        <v>9.09888752764017</v>
      </c>
      <c r="M43" s="108" t="n">
        <f aca="false">M42*$A43</f>
        <v>6.350370124166</v>
      </c>
      <c r="N43" s="97" t="n">
        <f aca="false">SUM(B43:M43)</f>
        <v>119.403229607615</v>
      </c>
      <c r="O43" s="109" t="s">
        <v>162</v>
      </c>
      <c r="P43" s="15" t="n">
        <f aca="false">P42*N44/N36</f>
        <v>97.7695108454625</v>
      </c>
    </row>
    <row r="44" customFormat="false" ht="15.75" hidden="false" customHeight="true" outlineLevel="0" collapsed="false">
      <c r="A44" s="173" t="n">
        <v>0.64</v>
      </c>
      <c r="B44" s="107" t="n">
        <f aca="false">B43*$A44</f>
        <v>5.87898149193162</v>
      </c>
      <c r="C44" s="100" t="n">
        <f aca="false">C43*$A44</f>
        <v>7.10515394464678</v>
      </c>
      <c r="D44" s="100" t="n">
        <f aca="false">D43*$A44</f>
        <v>8.69844655347846</v>
      </c>
      <c r="E44" s="100" t="n">
        <f aca="false">E43*$A44</f>
        <v>9.51497374038395</v>
      </c>
      <c r="F44" s="100" t="n">
        <f aca="false">F43*$A44</f>
        <v>5.05080946826677</v>
      </c>
      <c r="G44" s="107" t="n">
        <f aca="false">G43*$A44</f>
        <v>4.87777599977081</v>
      </c>
      <c r="H44" s="100" t="n">
        <f aca="false">H43*$A44</f>
        <v>9.61353080650665</v>
      </c>
      <c r="I44" s="100" t="n">
        <f aca="false">I43*$A44</f>
        <v>5.78156278256807</v>
      </c>
      <c r="J44" s="108" t="n">
        <f aca="false">J43*$A44</f>
        <v>4.57951222747735</v>
      </c>
      <c r="K44" s="100" t="n">
        <f aca="false">K43*$A44</f>
        <v>5.42979503668723</v>
      </c>
      <c r="L44" s="100" t="n">
        <f aca="false">L43*$A44</f>
        <v>5.82328801768971</v>
      </c>
      <c r="M44" s="108" t="n">
        <f aca="false">M43*$A44</f>
        <v>4.06423687946624</v>
      </c>
      <c r="N44" s="112" t="n">
        <f aca="false">SUM(B44:M44)</f>
        <v>76.4180669488736</v>
      </c>
      <c r="O44" s="113" t="s">
        <v>163</v>
      </c>
    </row>
    <row r="45" customFormat="false" ht="15.75" hidden="false" customHeight="true" outlineLevel="0" collapsed="false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154"/>
    </row>
    <row r="46" customFormat="false" ht="15.75" hidden="false" customHeight="true" outlineLevel="0" collapsed="false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154"/>
    </row>
    <row r="47" customFormat="false" ht="15.75" hidden="false" customHeight="true" outlineLevel="0" collapsed="false">
      <c r="A47" s="85" t="s">
        <v>142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6" t="s">
        <v>126</v>
      </c>
      <c r="O47" s="154"/>
    </row>
    <row r="48" customFormat="false" ht="15.75" hidden="false" customHeight="true" outlineLevel="0" collapsed="false">
      <c r="A48" s="87" t="s">
        <v>133</v>
      </c>
      <c r="B48" s="50" t="n">
        <f aca="false">B$14</f>
        <v>46235</v>
      </c>
      <c r="C48" s="51" t="n">
        <f aca="false">C$14</f>
        <v>46266</v>
      </c>
      <c r="D48" s="51" t="n">
        <f aca="false">D$14</f>
        <v>46296</v>
      </c>
      <c r="E48" s="51" t="n">
        <f aca="false">E$14</f>
        <v>46327</v>
      </c>
      <c r="F48" s="51" t="n">
        <f aca="false">F$14</f>
        <v>46357</v>
      </c>
      <c r="G48" s="50" t="n">
        <f aca="false">G$14</f>
        <v>46388</v>
      </c>
      <c r="H48" s="51" t="n">
        <f aca="false">H$14</f>
        <v>46419</v>
      </c>
      <c r="I48" s="51" t="n">
        <f aca="false">I$14</f>
        <v>46447</v>
      </c>
      <c r="J48" s="52" t="n">
        <f aca="false">J$14</f>
        <v>46478</v>
      </c>
      <c r="K48" s="51" t="n">
        <f aca="false">K$14</f>
        <v>46508</v>
      </c>
      <c r="L48" s="51" t="n">
        <f aca="false">L$14</f>
        <v>46539</v>
      </c>
      <c r="M48" s="52" t="n">
        <f aca="false">M$14</f>
        <v>46569</v>
      </c>
      <c r="N48" s="86"/>
      <c r="O48" s="154"/>
    </row>
    <row r="49" customFormat="false" ht="15.75" hidden="false" customHeight="true" outlineLevel="0" collapsed="false">
      <c r="A49" s="56" t="str">
        <f aca="false">A$2</f>
        <v>Google SEM</v>
      </c>
      <c r="B49" s="88" t="n">
        <v>47</v>
      </c>
      <c r="C49" s="89" t="n">
        <v>30</v>
      </c>
      <c r="D49" s="89"/>
      <c r="E49" s="89"/>
      <c r="F49" s="89"/>
      <c r="G49" s="88"/>
      <c r="H49" s="90"/>
      <c r="I49" s="90"/>
      <c r="J49" s="91"/>
      <c r="K49" s="90"/>
      <c r="L49" s="90"/>
      <c r="M49" s="91"/>
      <c r="N49" s="92" t="n">
        <f aca="false">SUM(B49:M49)</f>
        <v>77</v>
      </c>
      <c r="O49" s="154"/>
    </row>
    <row r="50" customFormat="false" ht="15.75" hidden="false" customHeight="true" outlineLevel="0" collapsed="false">
      <c r="A50" s="56" t="str">
        <f aca="false">A$3</f>
        <v>Google PMax</v>
      </c>
      <c r="B50" s="88" t="n">
        <v>89</v>
      </c>
      <c r="C50" s="89" t="n">
        <v>158</v>
      </c>
      <c r="D50" s="89"/>
      <c r="E50" s="89"/>
      <c r="F50" s="89"/>
      <c r="G50" s="88"/>
      <c r="H50" s="90"/>
      <c r="I50" s="90"/>
      <c r="J50" s="91"/>
      <c r="K50" s="90"/>
      <c r="L50" s="90"/>
      <c r="M50" s="91"/>
      <c r="N50" s="92" t="n">
        <f aca="false">SUM(B50:M50)</f>
        <v>247</v>
      </c>
      <c r="O50" s="154"/>
    </row>
    <row r="51" customFormat="false" ht="15.75" hidden="false" customHeight="true" outlineLevel="0" collapsed="false">
      <c r="A51" s="56" t="str">
        <f aca="false">A$4</f>
        <v>Meta: FB/IG Forms</v>
      </c>
      <c r="B51" s="88" t="n">
        <v>402</v>
      </c>
      <c r="C51" s="89" t="n">
        <v>607</v>
      </c>
      <c r="D51" s="89"/>
      <c r="E51" s="89"/>
      <c r="F51" s="89"/>
      <c r="G51" s="88"/>
      <c r="H51" s="90"/>
      <c r="I51" s="90"/>
      <c r="J51" s="91"/>
      <c r="K51" s="90"/>
      <c r="L51" s="90"/>
      <c r="M51" s="91"/>
      <c r="N51" s="92" t="n">
        <f aca="false">SUM(B51:M51)</f>
        <v>1009</v>
      </c>
      <c r="O51" s="154"/>
    </row>
    <row r="52" customFormat="false" ht="15.75" hidden="false" customHeight="true" outlineLevel="0" collapsed="false">
      <c r="A52" s="56" t="str">
        <f aca="false">A$5</f>
        <v>Meta: Website Leads</v>
      </c>
      <c r="B52" s="88" t="n">
        <v>44</v>
      </c>
      <c r="C52" s="89" t="n">
        <v>17</v>
      </c>
      <c r="D52" s="89"/>
      <c r="E52" s="89"/>
      <c r="F52" s="89"/>
      <c r="G52" s="88"/>
      <c r="H52" s="90"/>
      <c r="I52" s="90"/>
      <c r="J52" s="91"/>
      <c r="K52" s="90"/>
      <c r="L52" s="90"/>
      <c r="M52" s="91"/>
      <c r="N52" s="92" t="n">
        <f aca="false">SUM(B52:M52)</f>
        <v>61</v>
      </c>
      <c r="O52" s="154"/>
    </row>
    <row r="53" customFormat="false" ht="15.75" hidden="false" customHeight="true" outlineLevel="0" collapsed="false">
      <c r="A53" s="56" t="str">
        <f aca="false">A$6</f>
        <v>Meta: Whatsapp</v>
      </c>
      <c r="B53" s="88" t="n">
        <f aca="false">383*10%</f>
        <v>38.3</v>
      </c>
      <c r="C53" s="89" t="n">
        <f aca="false">503*10%</f>
        <v>50.3</v>
      </c>
      <c r="D53" s="89"/>
      <c r="E53" s="89"/>
      <c r="F53" s="89"/>
      <c r="G53" s="88"/>
      <c r="H53" s="90"/>
      <c r="I53" s="90"/>
      <c r="J53" s="91"/>
      <c r="K53" s="90"/>
      <c r="L53" s="90"/>
      <c r="M53" s="91"/>
      <c r="N53" s="92" t="n">
        <f aca="false">SUM(B53:M53)</f>
        <v>88.6</v>
      </c>
      <c r="O53" s="154"/>
    </row>
    <row r="54" customFormat="false" ht="15.75" hidden="false" customHeight="true" outlineLevel="0" collapsed="false">
      <c r="A54" s="63" t="str">
        <f aca="false">A$7</f>
        <v>Open Day/Tryouts</v>
      </c>
      <c r="B54" s="93" t="n">
        <v>15</v>
      </c>
      <c r="C54" s="94" t="n">
        <v>15</v>
      </c>
      <c r="D54" s="94"/>
      <c r="E54" s="94"/>
      <c r="F54" s="94"/>
      <c r="G54" s="93"/>
      <c r="H54" s="94"/>
      <c r="I54" s="94"/>
      <c r="J54" s="95"/>
      <c r="K54" s="94"/>
      <c r="L54" s="94"/>
      <c r="M54" s="95"/>
      <c r="N54" s="93" t="n">
        <f aca="false">SUM(B54:M54)</f>
        <v>30</v>
      </c>
      <c r="O54" s="154"/>
    </row>
    <row r="55" customFormat="false" ht="15.75" hidden="false" customHeight="true" outlineLevel="0" collapsed="false">
      <c r="A55" s="116" t="s">
        <v>143</v>
      </c>
      <c r="B55" s="117" t="n">
        <f aca="false">SUM(B49:B54)</f>
        <v>635.3</v>
      </c>
      <c r="C55" s="118" t="n">
        <f aca="false">SUM(C49:C54)</f>
        <v>877.3</v>
      </c>
      <c r="D55" s="118" t="n">
        <f aca="false">SUM(D49:D54)</f>
        <v>0</v>
      </c>
      <c r="E55" s="118" t="n">
        <f aca="false">SUM(E49:E54)</f>
        <v>0</v>
      </c>
      <c r="F55" s="118" t="n">
        <f aca="false">SUM(F49:F54)</f>
        <v>0</v>
      </c>
      <c r="G55" s="117" t="n">
        <f aca="false">SUM(G49:G54)</f>
        <v>0</v>
      </c>
      <c r="H55" s="118" t="n">
        <f aca="false">SUM(H49:H54)</f>
        <v>0</v>
      </c>
      <c r="I55" s="118" t="n">
        <f aca="false">SUM(I49:I54)</f>
        <v>0</v>
      </c>
      <c r="J55" s="119" t="n">
        <f aca="false">SUM(J49:J54)</f>
        <v>0</v>
      </c>
      <c r="K55" s="118" t="n">
        <f aca="false">SUM(K49:K54)</f>
        <v>0</v>
      </c>
      <c r="L55" s="118" t="n">
        <f aca="false">SUM(L49:L54)</f>
        <v>0</v>
      </c>
      <c r="M55" s="119" t="n">
        <f aca="false">SUM(M49:M54)</f>
        <v>0</v>
      </c>
      <c r="N55" s="118" t="n">
        <f aca="false">SUM(N49:N54)</f>
        <v>1512.6</v>
      </c>
      <c r="O55" s="154"/>
    </row>
    <row r="56" customFormat="false" ht="15.75" hidden="false" customHeight="true" outlineLevel="0" collapsed="false">
      <c r="A56" s="106" t="n">
        <v>0.59</v>
      </c>
      <c r="B56" s="100"/>
      <c r="C56" s="100"/>
      <c r="D56" s="100"/>
      <c r="E56" s="100"/>
      <c r="F56" s="100"/>
      <c r="G56" s="107"/>
      <c r="H56" s="100"/>
      <c r="I56" s="100"/>
      <c r="J56" s="108"/>
      <c r="K56" s="100"/>
      <c r="L56" s="100"/>
      <c r="M56" s="100"/>
      <c r="N56" s="97" t="n">
        <f aca="false">SUM(B56:M56)</f>
        <v>0</v>
      </c>
      <c r="O56" s="154"/>
    </row>
    <row r="57" customFormat="false" ht="15.75" hidden="false" customHeight="true" outlineLevel="0" collapsed="false">
      <c r="A57" s="106" t="n">
        <v>0.4</v>
      </c>
      <c r="B57" s="100"/>
      <c r="C57" s="100"/>
      <c r="D57" s="100"/>
      <c r="E57" s="100"/>
      <c r="F57" s="100"/>
      <c r="G57" s="107"/>
      <c r="H57" s="100"/>
      <c r="I57" s="100"/>
      <c r="J57" s="108"/>
      <c r="K57" s="100"/>
      <c r="L57" s="100"/>
      <c r="M57" s="100"/>
      <c r="N57" s="97" t="n">
        <f aca="false">SUM(B57:M57)</f>
        <v>0</v>
      </c>
      <c r="O57" s="154"/>
    </row>
    <row r="58" customFormat="false" ht="15.75" hidden="false" customHeight="true" outlineLevel="0" collapsed="false">
      <c r="A58" s="106" t="n">
        <v>0.85</v>
      </c>
      <c r="B58" s="100"/>
      <c r="C58" s="100"/>
      <c r="D58" s="100"/>
      <c r="E58" s="100"/>
      <c r="F58" s="100"/>
      <c r="G58" s="107"/>
      <c r="H58" s="100"/>
      <c r="I58" s="100"/>
      <c r="J58" s="108"/>
      <c r="K58" s="100"/>
      <c r="L58" s="100"/>
      <c r="M58" s="100"/>
      <c r="N58" s="97" t="n">
        <f aca="false">SUM(B58:M58)</f>
        <v>0</v>
      </c>
      <c r="O58" s="154"/>
    </row>
    <row r="59" customFormat="false" ht="15.75" hidden="false" customHeight="true" outlineLevel="0" collapsed="false">
      <c r="A59" s="106" t="n">
        <v>0.6</v>
      </c>
      <c r="B59" s="100"/>
      <c r="C59" s="100"/>
      <c r="D59" s="100"/>
      <c r="E59" s="100"/>
      <c r="F59" s="100"/>
      <c r="G59" s="107"/>
      <c r="H59" s="100"/>
      <c r="I59" s="100"/>
      <c r="J59" s="108"/>
      <c r="K59" s="100"/>
      <c r="L59" s="100"/>
      <c r="M59" s="100"/>
      <c r="N59" s="97" t="n">
        <f aca="false">SUM(B59:M59)</f>
        <v>0</v>
      </c>
      <c r="O59" s="154"/>
    </row>
    <row r="60" customFormat="false" ht="15.75" hidden="false" customHeight="true" outlineLevel="0" collapsed="false">
      <c r="A60" s="106" t="n">
        <v>0.3</v>
      </c>
      <c r="B60" s="100"/>
      <c r="C60" s="100"/>
      <c r="D60" s="100"/>
      <c r="E60" s="100"/>
      <c r="F60" s="100"/>
      <c r="G60" s="107"/>
      <c r="H60" s="100"/>
      <c r="I60" s="100"/>
      <c r="J60" s="108"/>
      <c r="K60" s="100"/>
      <c r="L60" s="100"/>
      <c r="M60" s="100"/>
      <c r="N60" s="97" t="n">
        <f aca="false">SUM(B60:M60)</f>
        <v>0</v>
      </c>
      <c r="O60" s="154"/>
    </row>
    <row r="61" customFormat="false" ht="15.75" hidden="false" customHeight="true" outlineLevel="0" collapsed="false">
      <c r="A61" s="106" t="n">
        <v>0.9</v>
      </c>
      <c r="B61" s="100"/>
      <c r="C61" s="100"/>
      <c r="D61" s="100"/>
      <c r="E61" s="100"/>
      <c r="F61" s="100"/>
      <c r="G61" s="107"/>
      <c r="H61" s="100"/>
      <c r="I61" s="100"/>
      <c r="J61" s="108"/>
      <c r="K61" s="100"/>
      <c r="L61" s="100"/>
      <c r="M61" s="100"/>
      <c r="N61" s="97" t="n">
        <f aca="false">SUM(B61:M61)</f>
        <v>0</v>
      </c>
      <c r="O61" s="154"/>
    </row>
    <row r="62" customFormat="false" ht="15.75" hidden="false" customHeight="true" outlineLevel="0" collapsed="false">
      <c r="A62" s="106" t="n">
        <v>0.64</v>
      </c>
      <c r="B62" s="100"/>
      <c r="C62" s="100"/>
      <c r="D62" s="100"/>
      <c r="E62" s="100"/>
      <c r="F62" s="100"/>
      <c r="G62" s="107"/>
      <c r="H62" s="100"/>
      <c r="I62" s="100"/>
      <c r="J62" s="108"/>
      <c r="K62" s="100"/>
      <c r="L62" s="100"/>
      <c r="M62" s="100"/>
      <c r="N62" s="112" t="n">
        <f aca="false">SUM(B62:M62)</f>
        <v>0</v>
      </c>
      <c r="O62" s="154"/>
    </row>
    <row r="63" customFormat="false" ht="15.75" hidden="false" customHeight="true" outlineLevel="0" collapsed="false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154"/>
    </row>
    <row r="64" customFormat="false" ht="15.75" hidden="false" customHeight="true" outlineLevel="0" collapsed="false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154"/>
    </row>
    <row r="65" customFormat="false" ht="15.75" hidden="false" customHeight="true" outlineLevel="0" collapsed="false">
      <c r="A65" s="85" t="s">
        <v>144</v>
      </c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6" t="s">
        <v>126</v>
      </c>
      <c r="O65" s="154"/>
    </row>
    <row r="66" customFormat="false" ht="15.75" hidden="false" customHeight="true" outlineLevel="0" collapsed="false">
      <c r="A66" s="87" t="s">
        <v>133</v>
      </c>
      <c r="B66" s="50" t="n">
        <f aca="false">B$14</f>
        <v>46235</v>
      </c>
      <c r="C66" s="51" t="n">
        <f aca="false">C$14</f>
        <v>46266</v>
      </c>
      <c r="D66" s="51" t="n">
        <f aca="false">D$14</f>
        <v>46296</v>
      </c>
      <c r="E66" s="51" t="n">
        <f aca="false">E$14</f>
        <v>46327</v>
      </c>
      <c r="F66" s="51" t="n">
        <f aca="false">F$14</f>
        <v>46357</v>
      </c>
      <c r="G66" s="50" t="n">
        <f aca="false">G$14</f>
        <v>46388</v>
      </c>
      <c r="H66" s="51" t="n">
        <f aca="false">H$14</f>
        <v>46419</v>
      </c>
      <c r="I66" s="51" t="n">
        <f aca="false">I$14</f>
        <v>46447</v>
      </c>
      <c r="J66" s="52" t="n">
        <f aca="false">J$14</f>
        <v>46478</v>
      </c>
      <c r="K66" s="51" t="n">
        <f aca="false">K$14</f>
        <v>46508</v>
      </c>
      <c r="L66" s="51" t="n">
        <f aca="false">L$14</f>
        <v>46539</v>
      </c>
      <c r="M66" s="52" t="n">
        <f aca="false">M$14</f>
        <v>46569</v>
      </c>
      <c r="N66" s="86"/>
      <c r="O66" s="154"/>
    </row>
    <row r="67" customFormat="false" ht="15.75" hidden="false" customHeight="true" outlineLevel="0" collapsed="false">
      <c r="A67" s="56" t="str">
        <f aca="false">A$2</f>
        <v>Google SEM</v>
      </c>
      <c r="B67" s="120" t="n">
        <f aca="false">B49/B30</f>
        <v>2.32919701666667</v>
      </c>
      <c r="C67" s="121" t="n">
        <f aca="false">C49/C30</f>
        <v>1.29363701923077</v>
      </c>
      <c r="D67" s="121" t="n">
        <f aca="false">D49/D30</f>
        <v>0</v>
      </c>
      <c r="E67" s="121" t="n">
        <f aca="false">E49/E30</f>
        <v>0</v>
      </c>
      <c r="F67" s="121" t="n">
        <f aca="false">F49/F30</f>
        <v>0</v>
      </c>
      <c r="G67" s="120" t="n">
        <f aca="false">G49/G30</f>
        <v>0</v>
      </c>
      <c r="H67" s="122" t="n">
        <f aca="false">H49/H30</f>
        <v>0</v>
      </c>
      <c r="I67" s="122" t="n">
        <f aca="false">I49/I30</f>
        <v>0</v>
      </c>
      <c r="J67" s="123" t="n">
        <f aca="false">J49/J30</f>
        <v>0</v>
      </c>
      <c r="K67" s="122" t="n">
        <f aca="false">K49/K30</f>
        <v>0</v>
      </c>
      <c r="L67" s="122" t="n">
        <f aca="false">L49/L30</f>
        <v>0</v>
      </c>
      <c r="M67" s="123" t="n">
        <f aca="false">M49/M30</f>
        <v>0</v>
      </c>
      <c r="N67" s="124" t="n">
        <f aca="false">N49/N30</f>
        <v>0.455631035959573</v>
      </c>
      <c r="O67" s="154"/>
    </row>
    <row r="68" customFormat="false" ht="15.75" hidden="false" customHeight="true" outlineLevel="0" collapsed="false">
      <c r="A68" s="56" t="str">
        <f aca="false">A$3</f>
        <v>Google PMax</v>
      </c>
      <c r="B68" s="120" t="n">
        <f aca="false">B50/B31</f>
        <v>1.352520985</v>
      </c>
      <c r="C68" s="121" t="n">
        <f aca="false">C50/C31</f>
        <v>1.91451790384615</v>
      </c>
      <c r="D68" s="121" t="n">
        <f aca="false">D50/D31</f>
        <v>0</v>
      </c>
      <c r="E68" s="121" t="n">
        <f aca="false">E50/E31</f>
        <v>0</v>
      </c>
      <c r="F68" s="121" t="n">
        <f aca="false">F50/F31</f>
        <v>0</v>
      </c>
      <c r="G68" s="120" t="n">
        <f aca="false">G50/G31</f>
        <v>0</v>
      </c>
      <c r="H68" s="122" t="n">
        <f aca="false">H50/H31</f>
        <v>0</v>
      </c>
      <c r="I68" s="122" t="n">
        <f aca="false">I50/I31</f>
        <v>0</v>
      </c>
      <c r="J68" s="123" t="n">
        <f aca="false">J50/J31</f>
        <v>0</v>
      </c>
      <c r="K68" s="122" t="n">
        <f aca="false">K50/K31</f>
        <v>0</v>
      </c>
      <c r="L68" s="122" t="n">
        <f aca="false">L50/L31</f>
        <v>0</v>
      </c>
      <c r="M68" s="123" t="n">
        <f aca="false">M50/M31</f>
        <v>0</v>
      </c>
      <c r="N68" s="124" t="n">
        <f aca="false">N50/N31</f>
        <v>0.339394746159912</v>
      </c>
      <c r="O68" s="154"/>
    </row>
    <row r="69" customFormat="false" ht="15.75" hidden="false" customHeight="true" outlineLevel="0" collapsed="false">
      <c r="A69" s="56" t="str">
        <f aca="false">A$4</f>
        <v>Meta: FB/IG Forms</v>
      </c>
      <c r="B69" s="120" t="n">
        <f aca="false">B51/B32</f>
        <v>2.01871067</v>
      </c>
      <c r="C69" s="121" t="n">
        <f aca="false">C51/C32</f>
        <v>2.26463528846154</v>
      </c>
      <c r="D69" s="121" t="n">
        <f aca="false">D51/D32</f>
        <v>0</v>
      </c>
      <c r="E69" s="121" t="n">
        <f aca="false">E51/E32</f>
        <v>0</v>
      </c>
      <c r="F69" s="121" t="n">
        <f aca="false">F51/F32</f>
        <v>0</v>
      </c>
      <c r="G69" s="120" t="n">
        <f aca="false">G51/G32</f>
        <v>0</v>
      </c>
      <c r="H69" s="122" t="n">
        <f aca="false">H51/H32</f>
        <v>0</v>
      </c>
      <c r="I69" s="122" t="n">
        <f aca="false">I51/I32</f>
        <v>0</v>
      </c>
      <c r="J69" s="123" t="n">
        <f aca="false">J51/J32</f>
        <v>0</v>
      </c>
      <c r="K69" s="122" t="n">
        <f aca="false">K51/K32</f>
        <v>0</v>
      </c>
      <c r="L69" s="122" t="n">
        <f aca="false">L51/L32</f>
        <v>0</v>
      </c>
      <c r="M69" s="123" t="n">
        <f aca="false">M51/M32</f>
        <v>0</v>
      </c>
      <c r="N69" s="124" t="n">
        <f aca="false">N51/N32</f>
        <v>0.291128702025607</v>
      </c>
      <c r="O69" s="154"/>
    </row>
    <row r="70" customFormat="false" ht="15.75" hidden="false" customHeight="true" outlineLevel="0" collapsed="false">
      <c r="A70" s="56" t="str">
        <f aca="false">A$5</f>
        <v>Meta: Website Leads</v>
      </c>
      <c r="B70" s="120" t="n">
        <f aca="false">B52/B33</f>
        <v>5.175432160536</v>
      </c>
      <c r="C70" s="121" t="n">
        <f aca="false">C52/C33</f>
        <v>2.00341166802404</v>
      </c>
      <c r="D70" s="121" t="n">
        <f aca="false">D52/D33</f>
        <v>0</v>
      </c>
      <c r="E70" s="121" t="n">
        <f aca="false">E52/E33</f>
        <v>0</v>
      </c>
      <c r="F70" s="121" t="n">
        <f aca="false">F52/F33</f>
        <v>0</v>
      </c>
      <c r="G70" s="120" t="n">
        <f aca="false">G52/G33</f>
        <v>0</v>
      </c>
      <c r="H70" s="122" t="n">
        <f aca="false">H52/H33</f>
        <v>0</v>
      </c>
      <c r="I70" s="122" t="n">
        <f aca="false">I52/I33</f>
        <v>0</v>
      </c>
      <c r="J70" s="123" t="n">
        <f aca="false">J52/J33</f>
        <v>0</v>
      </c>
      <c r="K70" s="122" t="n">
        <f aca="false">K52/K33</f>
        <v>0</v>
      </c>
      <c r="L70" s="122" t="n">
        <f aca="false">L52/L33</f>
        <v>0</v>
      </c>
      <c r="M70" s="123" t="n">
        <f aca="false">M52/M33</f>
        <v>0</v>
      </c>
      <c r="N70" s="124" t="n">
        <f aca="false">N52/N33</f>
        <v>0.938593910554555</v>
      </c>
      <c r="O70" s="154"/>
    </row>
    <row r="71" customFormat="false" ht="15.75" hidden="false" customHeight="true" outlineLevel="0" collapsed="false">
      <c r="A71" s="56" t="str">
        <f aca="false">A$6</f>
        <v>Meta: Whatsapp</v>
      </c>
      <c r="B71" s="120" t="n">
        <f aca="false">B53/B34</f>
        <v>1.44773489333333</v>
      </c>
      <c r="C71" s="121" t="n">
        <f aca="false">C53/C34</f>
        <v>1.36259314423077</v>
      </c>
      <c r="D71" s="121" t="n">
        <f aca="false">D53/D34</f>
        <v>0</v>
      </c>
      <c r="E71" s="121" t="n">
        <f aca="false">E53/E34</f>
        <v>0</v>
      </c>
      <c r="F71" s="121" t="n">
        <f aca="false">F53/F34</f>
        <v>0</v>
      </c>
      <c r="G71" s="120" t="n">
        <f aca="false">G53/G34</f>
        <v>0</v>
      </c>
      <c r="H71" s="122" t="n">
        <f aca="false">H53/H34</f>
        <v>0</v>
      </c>
      <c r="I71" s="122" t="n">
        <f aca="false">I53/I34</f>
        <v>0</v>
      </c>
      <c r="J71" s="123" t="n">
        <f aca="false">J53/J34</f>
        <v>0</v>
      </c>
      <c r="K71" s="122" t="n">
        <f aca="false">K53/K34</f>
        <v>0</v>
      </c>
      <c r="L71" s="122" t="n">
        <f aca="false">L53/L34</f>
        <v>0</v>
      </c>
      <c r="M71" s="123" t="n">
        <f aca="false">M53/M34</f>
        <v>0</v>
      </c>
      <c r="N71" s="124" t="n">
        <f aca="false">N53/N34</f>
        <v>0.259589878216013</v>
      </c>
      <c r="O71" s="154"/>
    </row>
    <row r="72" customFormat="false" ht="15.75" hidden="false" customHeight="true" outlineLevel="0" collapsed="false">
      <c r="A72" s="63" t="str">
        <f aca="false">A$7</f>
        <v>Open Day/Tryouts</v>
      </c>
      <c r="B72" s="125" t="n">
        <f aca="false">B54/B35</f>
        <v>0.14495925</v>
      </c>
      <c r="C72" s="126" t="n">
        <f aca="false">C54/C35</f>
        <v>0.161741978744939</v>
      </c>
      <c r="D72" s="126" t="n">
        <f aca="false">D54/D35</f>
        <v>0</v>
      </c>
      <c r="E72" s="126" t="n">
        <f aca="false">E54/E35</f>
        <v>0</v>
      </c>
      <c r="F72" s="126" t="n">
        <f aca="false">F54/F35</f>
        <v>0</v>
      </c>
      <c r="G72" s="125" t="n">
        <f aca="false">G54/G35</f>
        <v>0</v>
      </c>
      <c r="H72" s="126" t="n">
        <f aca="false">H54/H35</f>
        <v>0</v>
      </c>
      <c r="I72" s="126" t="n">
        <f aca="false">I54/I35</f>
        <v>0</v>
      </c>
      <c r="J72" s="127" t="n">
        <f aca="false">J54/J35</f>
        <v>0</v>
      </c>
      <c r="K72" s="126" t="n">
        <f aca="false">K54/K35</f>
        <v>0</v>
      </c>
      <c r="L72" s="126" t="n">
        <f aca="false">L54/L35</f>
        <v>0</v>
      </c>
      <c r="M72" s="127" t="n">
        <f aca="false">M54/M35</f>
        <v>0</v>
      </c>
      <c r="N72" s="125" t="n">
        <f aca="false">N54/N35</f>
        <v>0.0407233060004983</v>
      </c>
      <c r="O72" s="154"/>
    </row>
    <row r="73" customFormat="false" ht="15.75" hidden="false" customHeight="true" outlineLevel="0" collapsed="false">
      <c r="A73" s="116" t="s">
        <v>143</v>
      </c>
      <c r="B73" s="128" t="n">
        <f aca="false">B55/B36</f>
        <v>1.49993084007868</v>
      </c>
      <c r="C73" s="129" t="n">
        <f aca="false">C55/C36</f>
        <v>1.71383540214136</v>
      </c>
      <c r="D73" s="129" t="n">
        <f aca="false">D55/D36</f>
        <v>0</v>
      </c>
      <c r="E73" s="129" t="n">
        <f aca="false">E55/E36</f>
        <v>0</v>
      </c>
      <c r="F73" s="129" t="n">
        <f aca="false">F55/F36</f>
        <v>0</v>
      </c>
      <c r="G73" s="128" t="n">
        <f aca="false">G55/G36</f>
        <v>0</v>
      </c>
      <c r="H73" s="129" t="n">
        <f aca="false">H55/H36</f>
        <v>0</v>
      </c>
      <c r="I73" s="129" t="n">
        <f aca="false">I55/I36</f>
        <v>0</v>
      </c>
      <c r="J73" s="130" t="n">
        <f aca="false">J55/J36</f>
        <v>0</v>
      </c>
      <c r="K73" s="129" t="n">
        <f aca="false">K55/K36</f>
        <v>0</v>
      </c>
      <c r="L73" s="129" t="n">
        <f aca="false">L55/L36</f>
        <v>0</v>
      </c>
      <c r="M73" s="130" t="n">
        <f aca="false">M55/M36</f>
        <v>0</v>
      </c>
      <c r="N73" s="129" t="n">
        <f aca="false">N55/N36</f>
        <v>0.27474039653537</v>
      </c>
      <c r="O73" s="154"/>
    </row>
    <row r="74" customFormat="false" ht="15.75" hidden="false" customHeight="true" outlineLevel="0" collapsed="false">
      <c r="A74" s="106" t="n">
        <v>0.59</v>
      </c>
      <c r="B74" s="100"/>
      <c r="C74" s="100"/>
      <c r="D74" s="100"/>
      <c r="E74" s="100"/>
      <c r="F74" s="100"/>
      <c r="G74" s="107"/>
      <c r="H74" s="100"/>
      <c r="I74" s="100"/>
      <c r="J74" s="108"/>
      <c r="K74" s="100"/>
      <c r="L74" s="100"/>
      <c r="M74" s="100"/>
      <c r="N74" s="97" t="n">
        <f aca="false">SUM(B74:M74)</f>
        <v>0</v>
      </c>
      <c r="O74" s="154"/>
    </row>
    <row r="75" customFormat="false" ht="15.75" hidden="false" customHeight="true" outlineLevel="0" collapsed="false">
      <c r="A75" s="106" t="n">
        <v>0.4</v>
      </c>
      <c r="B75" s="100"/>
      <c r="C75" s="100"/>
      <c r="D75" s="100"/>
      <c r="E75" s="100"/>
      <c r="F75" s="100"/>
      <c r="G75" s="107"/>
      <c r="H75" s="100"/>
      <c r="I75" s="100"/>
      <c r="J75" s="108"/>
      <c r="K75" s="100"/>
      <c r="L75" s="100"/>
      <c r="M75" s="100"/>
      <c r="N75" s="97" t="n">
        <f aca="false">SUM(B75:M75)</f>
        <v>0</v>
      </c>
      <c r="O75" s="154"/>
    </row>
    <row r="76" customFormat="false" ht="15.75" hidden="false" customHeight="true" outlineLevel="0" collapsed="false">
      <c r="A76" s="106" t="n">
        <v>0.85</v>
      </c>
      <c r="B76" s="100"/>
      <c r="C76" s="100"/>
      <c r="D76" s="100"/>
      <c r="E76" s="100"/>
      <c r="F76" s="100"/>
      <c r="G76" s="107"/>
      <c r="H76" s="100"/>
      <c r="I76" s="100"/>
      <c r="J76" s="108"/>
      <c r="K76" s="100"/>
      <c r="L76" s="100"/>
      <c r="M76" s="100"/>
      <c r="N76" s="97" t="n">
        <f aca="false">SUM(B76:M76)</f>
        <v>0</v>
      </c>
      <c r="O76" s="154"/>
    </row>
    <row r="77" customFormat="false" ht="15.75" hidden="false" customHeight="true" outlineLevel="0" collapsed="false">
      <c r="A77" s="106" t="n">
        <v>0.6</v>
      </c>
      <c r="B77" s="100"/>
      <c r="C77" s="100"/>
      <c r="D77" s="100"/>
      <c r="E77" s="100"/>
      <c r="F77" s="100"/>
      <c r="G77" s="107"/>
      <c r="H77" s="100"/>
      <c r="I77" s="100"/>
      <c r="J77" s="108"/>
      <c r="K77" s="100"/>
      <c r="L77" s="100"/>
      <c r="M77" s="100"/>
      <c r="N77" s="97" t="n">
        <f aca="false">SUM(B77:M77)</f>
        <v>0</v>
      </c>
      <c r="O77" s="154"/>
    </row>
    <row r="78" customFormat="false" ht="15.75" hidden="false" customHeight="true" outlineLevel="0" collapsed="false">
      <c r="A78" s="106" t="n">
        <v>0.3</v>
      </c>
      <c r="B78" s="100"/>
      <c r="C78" s="100"/>
      <c r="D78" s="100"/>
      <c r="E78" s="100"/>
      <c r="F78" s="100"/>
      <c r="G78" s="107"/>
      <c r="H78" s="100"/>
      <c r="I78" s="100"/>
      <c r="J78" s="108"/>
      <c r="K78" s="100"/>
      <c r="L78" s="100"/>
      <c r="M78" s="100"/>
      <c r="N78" s="97" t="n">
        <f aca="false">SUM(B78:M78)</f>
        <v>0</v>
      </c>
      <c r="O78" s="154"/>
    </row>
    <row r="79" customFormat="false" ht="15.75" hidden="false" customHeight="true" outlineLevel="0" collapsed="false">
      <c r="A79" s="106" t="n">
        <v>0.9</v>
      </c>
      <c r="B79" s="100"/>
      <c r="C79" s="100"/>
      <c r="D79" s="100"/>
      <c r="E79" s="100"/>
      <c r="F79" s="100"/>
      <c r="G79" s="107"/>
      <c r="H79" s="100"/>
      <c r="I79" s="100"/>
      <c r="J79" s="108"/>
      <c r="K79" s="100"/>
      <c r="L79" s="100"/>
      <c r="M79" s="100"/>
      <c r="N79" s="97" t="n">
        <f aca="false">SUM(B79:M79)</f>
        <v>0</v>
      </c>
      <c r="O79" s="154"/>
    </row>
    <row r="80" customFormat="false" ht="15.75" hidden="false" customHeight="true" outlineLevel="0" collapsed="false">
      <c r="A80" s="106" t="n">
        <v>0.64</v>
      </c>
      <c r="B80" s="100"/>
      <c r="C80" s="100"/>
      <c r="D80" s="100"/>
      <c r="E80" s="100"/>
      <c r="F80" s="100"/>
      <c r="G80" s="107"/>
      <c r="H80" s="100"/>
      <c r="I80" s="100"/>
      <c r="J80" s="108"/>
      <c r="K80" s="100"/>
      <c r="L80" s="100"/>
      <c r="M80" s="100"/>
      <c r="N80" s="112" t="n">
        <f aca="false">SUM(B80:M80)</f>
        <v>0</v>
      </c>
      <c r="O80" s="154"/>
    </row>
    <row r="81" customFormat="false" ht="15.75" hidden="false" customHeight="true" outlineLevel="0" collapsed="false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154"/>
    </row>
    <row r="82" customFormat="false" ht="15.75" hidden="false" customHeight="true" outlineLevel="0" collapsed="false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154"/>
    </row>
    <row r="83" customFormat="false" ht="15.75" hidden="false" customHeight="true" outlineLevel="0" collapsed="false">
      <c r="A83" s="131" t="s">
        <v>145</v>
      </c>
      <c r="B83" s="132" t="n">
        <v>46295</v>
      </c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154"/>
    </row>
    <row r="84" customFormat="false" ht="15.75" hidden="true" customHeight="true" outlineLevel="0" collapsed="false">
      <c r="A84" s="133" t="s">
        <v>146</v>
      </c>
      <c r="B84" s="134" t="n">
        <v>46235</v>
      </c>
      <c r="C84" s="134" t="n">
        <v>46266</v>
      </c>
      <c r="D84" s="134" t="n">
        <v>46296</v>
      </c>
      <c r="E84" s="134" t="n">
        <v>46327</v>
      </c>
      <c r="F84" s="134" t="n">
        <v>46357</v>
      </c>
      <c r="G84" s="134" t="n">
        <v>46388</v>
      </c>
      <c r="H84" s="134" t="n">
        <v>46419</v>
      </c>
      <c r="I84" s="134" t="n">
        <v>46447</v>
      </c>
      <c r="J84" s="134" t="n">
        <v>46478</v>
      </c>
      <c r="K84" s="134" t="n">
        <v>46508</v>
      </c>
      <c r="L84" s="134" t="n">
        <v>46539</v>
      </c>
      <c r="M84" s="134" t="n">
        <v>46569</v>
      </c>
      <c r="N84" s="27"/>
      <c r="O84" s="154"/>
    </row>
    <row r="85" customFormat="false" ht="15.75" hidden="true" customHeight="true" outlineLevel="0" collapsed="false">
      <c r="A85" s="133" t="s">
        <v>147</v>
      </c>
      <c r="B85" s="134" t="n">
        <v>46265</v>
      </c>
      <c r="C85" s="134" t="n">
        <v>46295</v>
      </c>
      <c r="D85" s="134" t="n">
        <v>46326</v>
      </c>
      <c r="E85" s="134" t="n">
        <v>46356</v>
      </c>
      <c r="F85" s="134" t="n">
        <v>46387</v>
      </c>
      <c r="G85" s="134" t="n">
        <v>46752</v>
      </c>
      <c r="H85" s="134" t="n">
        <v>46446</v>
      </c>
      <c r="I85" s="134" t="n">
        <v>46477</v>
      </c>
      <c r="J85" s="134" t="n">
        <v>46507</v>
      </c>
      <c r="K85" s="134" t="n">
        <v>46538</v>
      </c>
      <c r="L85" s="134" t="n">
        <v>46568</v>
      </c>
      <c r="M85" s="134" t="n">
        <v>46599</v>
      </c>
      <c r="N85" s="27"/>
      <c r="O85" s="154"/>
    </row>
    <row r="86" customFormat="false" ht="15.75" hidden="false" customHeight="true" outlineLevel="0" collapsed="false">
      <c r="A86" s="133" t="s">
        <v>148</v>
      </c>
      <c r="B86" s="135" t="n">
        <f aca="false">MAX(0,MIN((_xlfn.DAYS($B$83,B84)+1)/(_xlfn.DAYS(B85,B84)+1),1))</f>
        <v>1</v>
      </c>
      <c r="C86" s="135" t="n">
        <f aca="false">MAX(0,MIN((_xlfn.DAYS($B$83,C84)+1)/(_xlfn.DAYS(C85,C84)+1),1))</f>
        <v>1</v>
      </c>
      <c r="D86" s="135" t="n">
        <f aca="false">MAX(0,MIN((_xlfn.DAYS($B$83,D84)+1)/(_xlfn.DAYS(D85,D84)+1),1))</f>
        <v>0</v>
      </c>
      <c r="E86" s="135" t="n">
        <f aca="false">MAX(0,MIN((_xlfn.DAYS($B$83,E84)+1)/(_xlfn.DAYS(E85,E84)+1),1))</f>
        <v>0</v>
      </c>
      <c r="F86" s="135" t="n">
        <f aca="false">MAX(0,MIN((_xlfn.DAYS($B$83,F84)+1)/(_xlfn.DAYS(F85,F84)+1),1))</f>
        <v>0</v>
      </c>
      <c r="G86" s="135" t="n">
        <f aca="false">MAX(0,MIN((_xlfn.DAYS($B$83,G84)+1)/(_xlfn.DAYS(G85,G84)+1),1))</f>
        <v>0</v>
      </c>
      <c r="H86" s="135" t="n">
        <f aca="false">MAX(0,MIN((_xlfn.DAYS($B$83,H84)+1)/(_xlfn.DAYS(H85,H84)+1),1))</f>
        <v>0</v>
      </c>
      <c r="I86" s="135" t="n">
        <f aca="false">MAX(0,MIN((_xlfn.DAYS($B$83,I84)+1)/(_xlfn.DAYS(I85,I84)+1),1))</f>
        <v>0</v>
      </c>
      <c r="J86" s="135" t="n">
        <f aca="false">MAX(0,MIN((_xlfn.DAYS($B$83,J84)+1)/(_xlfn.DAYS(J85,J84)+1),1))</f>
        <v>0</v>
      </c>
      <c r="K86" s="135" t="n">
        <f aca="false">MAX(0,MIN((_xlfn.DAYS($B$83,K84)+1)/(_xlfn.DAYS(K85,K84)+1),1))</f>
        <v>0</v>
      </c>
      <c r="L86" s="135" t="n">
        <f aca="false">MAX(0,MIN((_xlfn.DAYS($B$83,L84)+1)/(_xlfn.DAYS(L85,L84)+1),1))</f>
        <v>0</v>
      </c>
      <c r="M86" s="135" t="n">
        <f aca="false">MAX(0,MIN((_xlfn.DAYS($B$83,M84)+1)/(_xlfn.DAYS(M85,M84)+1),1))</f>
        <v>0</v>
      </c>
      <c r="N86" s="27"/>
      <c r="O86" s="154"/>
    </row>
    <row r="87" customFormat="false" ht="15.75" hidden="false" customHeight="true" outlineLevel="0" collapsed="false">
      <c r="A87" s="133" t="s">
        <v>149</v>
      </c>
      <c r="B87" s="136" t="n">
        <f aca="false">IFERROR(B73/B86-100%,"")</f>
        <v>0.499930840078679</v>
      </c>
      <c r="C87" s="136" t="n">
        <f aca="false">IFERROR(C73/C86-100%,"")</f>
        <v>0.713835402141363</v>
      </c>
      <c r="D87" s="136" t="str">
        <f aca="false">IFERROR(D73/D86-100%,"")</f>
        <v/>
      </c>
      <c r="E87" s="136" t="str">
        <f aca="false">IFERROR(E73/E86-100%,"")</f>
        <v/>
      </c>
      <c r="F87" s="136" t="str">
        <f aca="false">IFERROR(F73/F86-100%,"")</f>
        <v/>
      </c>
      <c r="G87" s="136" t="str">
        <f aca="false">IFERROR(G73/G86-100%,"")</f>
        <v/>
      </c>
      <c r="H87" s="136" t="str">
        <f aca="false">IFERROR(H73/H86-100%,"")</f>
        <v/>
      </c>
      <c r="I87" s="136" t="str">
        <f aca="false">IFERROR(I73/I86-100%,"")</f>
        <v/>
      </c>
      <c r="J87" s="136" t="str">
        <f aca="false">IFERROR(J73/J86-100%,"")</f>
        <v/>
      </c>
      <c r="K87" s="136" t="str">
        <f aca="false">IFERROR(K73/K86-100%,"")</f>
        <v/>
      </c>
      <c r="L87" s="136" t="str">
        <f aca="false">IFERROR(L73/L86-100%,"")</f>
        <v/>
      </c>
      <c r="M87" s="136" t="str">
        <f aca="false">IFERROR(M73/M86-100%,"")</f>
        <v/>
      </c>
      <c r="N87" s="27"/>
      <c r="O87" s="154"/>
    </row>
    <row r="88" customFormat="false" ht="15.75" hidden="false" customHeight="true" outlineLevel="0" collapsed="false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154"/>
    </row>
    <row r="89" customFormat="false" ht="15.75" hidden="false" customHeight="true" outlineLevel="0" collapsed="false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154"/>
    </row>
    <row r="90" customFormat="false" ht="15.75" hidden="false" customHeight="true" outlineLevel="0" collapsed="false">
      <c r="A90" s="85" t="s">
        <v>150</v>
      </c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174"/>
      <c r="O90" s="154"/>
    </row>
    <row r="91" customFormat="false" ht="15.75" hidden="false" customHeight="true" outlineLevel="0" collapsed="false">
      <c r="A91" s="87" t="s">
        <v>133</v>
      </c>
      <c r="B91" s="50" t="n">
        <f aca="false">B$14</f>
        <v>46235</v>
      </c>
      <c r="C91" s="51" t="n">
        <f aca="false">C$14</f>
        <v>46266</v>
      </c>
      <c r="D91" s="51" t="n">
        <f aca="false">D$14</f>
        <v>46296</v>
      </c>
      <c r="E91" s="51" t="n">
        <f aca="false">E$14</f>
        <v>46327</v>
      </c>
      <c r="F91" s="51" t="n">
        <f aca="false">F$14</f>
        <v>46357</v>
      </c>
      <c r="G91" s="50" t="n">
        <f aca="false">G$14</f>
        <v>46388</v>
      </c>
      <c r="H91" s="51" t="n">
        <f aca="false">H$14</f>
        <v>46419</v>
      </c>
      <c r="I91" s="51" t="n">
        <f aca="false">I$14</f>
        <v>46447</v>
      </c>
      <c r="J91" s="51" t="n">
        <f aca="false">J$14</f>
        <v>46478</v>
      </c>
      <c r="K91" s="50" t="n">
        <f aca="false">K$14</f>
        <v>46508</v>
      </c>
      <c r="L91" s="51" t="n">
        <f aca="false">L$14</f>
        <v>46539</v>
      </c>
      <c r="M91" s="51" t="n">
        <f aca="false">M$14</f>
        <v>46569</v>
      </c>
      <c r="N91" s="174"/>
      <c r="O91" s="154"/>
    </row>
    <row r="92" customFormat="false" ht="15.75" hidden="false" customHeight="true" outlineLevel="0" collapsed="false">
      <c r="A92" s="138" t="s">
        <v>152</v>
      </c>
      <c r="B92" s="139" t="n">
        <v>0.3186</v>
      </c>
      <c r="C92" s="140" t="n">
        <v>0.5183</v>
      </c>
      <c r="D92" s="140" t="n">
        <v>0.21</v>
      </c>
      <c r="E92" s="140" t="n">
        <v>0.21</v>
      </c>
      <c r="F92" s="140" t="n">
        <v>0.2</v>
      </c>
      <c r="G92" s="139" t="n">
        <v>0.18</v>
      </c>
      <c r="H92" s="140" t="n">
        <v>0.17</v>
      </c>
      <c r="I92" s="140" t="n">
        <v>0.16</v>
      </c>
      <c r="J92" s="140" t="n">
        <v>0.17</v>
      </c>
      <c r="K92" s="139" t="n">
        <v>0.15</v>
      </c>
      <c r="L92" s="140" t="n">
        <v>0.14</v>
      </c>
      <c r="M92" s="140" t="n">
        <v>0.15</v>
      </c>
      <c r="N92" s="174"/>
      <c r="O92" s="154"/>
    </row>
    <row r="93" customFormat="false" ht="15.75" hidden="false" customHeight="true" outlineLevel="0" collapsed="false">
      <c r="A93" s="157" t="str">
        <f aca="false">A$2</f>
        <v>Google SEM</v>
      </c>
      <c r="B93" s="147" t="n">
        <f aca="false">B103*(100%+B$92)</f>
        <v>1784.0658</v>
      </c>
      <c r="C93" s="146" t="n">
        <f aca="false">C103*(100%+C$92)</f>
        <v>2421.6885</v>
      </c>
      <c r="D93" s="146" t="n">
        <f aca="false">D103*(100%+D$92)</f>
        <v>1942.05</v>
      </c>
      <c r="E93" s="146" t="n">
        <f aca="false">E103*(100%+E$92)</f>
        <v>1922.69</v>
      </c>
      <c r="F93" s="146" t="n">
        <f aca="false">F103*(100%+F$92)</f>
        <v>1887.6</v>
      </c>
      <c r="G93" s="147" t="n">
        <f aca="false">G103*(100%+G$92)</f>
        <v>1860.86</v>
      </c>
      <c r="H93" s="146" t="n">
        <f aca="false">H103*(100%+H$92)</f>
        <v>1909.44</v>
      </c>
      <c r="I93" s="146" t="n">
        <f aca="false">I103*(100%+I$92)</f>
        <v>1685.48</v>
      </c>
      <c r="J93" s="146" t="n">
        <f aca="false">J103*(100%+J$92)</f>
        <v>1265.94</v>
      </c>
      <c r="K93" s="147" t="n">
        <f aca="false">K103*(100%+K$92)</f>
        <v>1669.8</v>
      </c>
      <c r="L93" s="146" t="n">
        <f aca="false">L103*(100%+L$92)</f>
        <v>1912.92</v>
      </c>
      <c r="M93" s="146" t="n">
        <f aca="false">M103*(100%+M$92)</f>
        <v>1498.45</v>
      </c>
      <c r="N93" s="174"/>
      <c r="O93" s="154"/>
    </row>
    <row r="94" customFormat="false" ht="15.75" hidden="false" customHeight="true" outlineLevel="0" collapsed="false">
      <c r="A94" s="157" t="str">
        <f aca="false">A$3</f>
        <v>Google PMax</v>
      </c>
      <c r="B94" s="147" t="n">
        <f aca="false">B104*(100%+B$92)</f>
        <v>1215.7492</v>
      </c>
      <c r="C94" s="146" t="n">
        <f aca="false">C104*(100%+C$92)</f>
        <v>1512.2268</v>
      </c>
      <c r="D94" s="146" t="n">
        <f aca="false">D104*(100%+D$92)</f>
        <v>1331</v>
      </c>
      <c r="E94" s="146" t="n">
        <f aca="false">E104*(100%+E$92)</f>
        <v>1149.5</v>
      </c>
      <c r="F94" s="146" t="n">
        <f aca="false">F104*(100%+F$92)</f>
        <v>1147.2</v>
      </c>
      <c r="G94" s="147" t="n">
        <f aca="false">G104*(100%+G$92)</f>
        <v>1069.08</v>
      </c>
      <c r="H94" s="146" t="n">
        <f aca="false">H104*(100%+H$92)</f>
        <v>1029.6</v>
      </c>
      <c r="I94" s="146" t="n">
        <f aca="false">I104*(100%+I$92)</f>
        <v>1044</v>
      </c>
      <c r="J94" s="146" t="n">
        <f aca="false">J104*(100%+J$92)</f>
        <v>1261.26</v>
      </c>
      <c r="K94" s="147" t="n">
        <f aca="false">K104*(100%+K$92)</f>
        <v>1428.3</v>
      </c>
      <c r="L94" s="146" t="n">
        <f aca="false">L104*(100%+L$92)</f>
        <v>1256.28</v>
      </c>
      <c r="M94" s="146" t="n">
        <f aca="false">M104*(100%+M$92)</f>
        <v>1437.5</v>
      </c>
      <c r="N94" s="174"/>
      <c r="O94" s="154"/>
    </row>
    <row r="95" customFormat="false" ht="15.75" hidden="false" customHeight="true" outlineLevel="0" collapsed="false">
      <c r="A95" s="157" t="str">
        <f aca="false">A$4</f>
        <v>Meta: FB/IG Forms</v>
      </c>
      <c r="B95" s="147" t="n">
        <f aca="false">B105*(100%+B$92)</f>
        <v>602.6002</v>
      </c>
      <c r="C95" s="146" t="n">
        <f aca="false">C105*(100%+C$92)</f>
        <v>698.418</v>
      </c>
      <c r="D95" s="146" t="n">
        <f aca="false">D105*(100%+D$92)</f>
        <v>612.26</v>
      </c>
      <c r="E95" s="146" t="n">
        <f aca="false">E105*(100%+E$92)</f>
        <v>559.02</v>
      </c>
      <c r="F95" s="146" t="n">
        <f aca="false">F105*(100%+F$92)</f>
        <v>525.6</v>
      </c>
      <c r="G95" s="147" t="n">
        <f aca="false">G105*(100%+G$92)</f>
        <v>578.2</v>
      </c>
      <c r="H95" s="146" t="n">
        <f aca="false">H105*(100%+H$92)</f>
        <v>577.98</v>
      </c>
      <c r="I95" s="146" t="n">
        <f aca="false">I105*(100%+I$92)</f>
        <v>466.32</v>
      </c>
      <c r="J95" s="146" t="n">
        <f aca="false">J105*(100%+J$92)</f>
        <v>622.44</v>
      </c>
      <c r="K95" s="147" t="n">
        <f aca="false">K105*(100%+K$92)</f>
        <v>611.8</v>
      </c>
      <c r="L95" s="146" t="n">
        <f aca="false">L105*(100%+L$92)</f>
        <v>550.62</v>
      </c>
      <c r="M95" s="146" t="n">
        <f aca="false">M105*(100%+M$92)</f>
        <v>556.6</v>
      </c>
      <c r="N95" s="174"/>
      <c r="O95" s="154"/>
    </row>
    <row r="96" customFormat="false" ht="15.75" hidden="false" customHeight="true" outlineLevel="0" collapsed="false">
      <c r="A96" s="157" t="str">
        <f aca="false">A$5</f>
        <v>Meta: Website Leads</v>
      </c>
      <c r="B96" s="147" t="n">
        <f aca="false">B106*(100%+B$92)</f>
        <v>2352.46916388</v>
      </c>
      <c r="C96" s="146" t="n">
        <f aca="false">C106*(100%+C$92)</f>
        <v>3676.84964955</v>
      </c>
      <c r="D96" s="146" t="n">
        <f aca="false">D106*(100%+D$92)</f>
        <v>2774.18031</v>
      </c>
      <c r="E96" s="146" t="n">
        <f aca="false">E106*(100%+E$92)</f>
        <v>2801.974736</v>
      </c>
      <c r="F96" s="146" t="n">
        <f aca="false">F106*(100%+F$92)</f>
        <v>2844.17568</v>
      </c>
      <c r="G96" s="147" t="n">
        <f aca="false">G106*(100%+G$92)</f>
        <v>2790.291602</v>
      </c>
      <c r="H96" s="146" t="n">
        <f aca="false">H106*(100%+H$92)</f>
        <v>2891.286216</v>
      </c>
      <c r="I96" s="146" t="n">
        <f aca="false">I106*(100%+I$92)</f>
        <v>2435.583096</v>
      </c>
      <c r="J96" s="146" t="n">
        <f aca="false">J106*(100%+J$92)</f>
        <v>1676.990718</v>
      </c>
      <c r="K96" s="147" t="n">
        <f aca="false">K106*(100%+K$92)</f>
        <v>2585.6278</v>
      </c>
      <c r="L96" s="146" t="n">
        <f aca="false">L106*(100%+L$92)</f>
        <v>3030.258168</v>
      </c>
      <c r="M96" s="146" t="n">
        <f aca="false">M106*(100%+M$92)</f>
        <v>2320.349825</v>
      </c>
      <c r="N96" s="174"/>
      <c r="O96" s="154"/>
    </row>
    <row r="97" customFormat="false" ht="15.75" hidden="false" customHeight="true" outlineLevel="0" collapsed="false">
      <c r="A97" s="157" t="str">
        <f aca="false">A$6</f>
        <v>Meta: Whatsapp</v>
      </c>
      <c r="B97" s="147" t="n">
        <f aca="false">B107*(100%+B$92)</f>
        <v>226.7992</v>
      </c>
      <c r="C97" s="146" t="n">
        <f aca="false">C107*(100%+C$92)</f>
        <v>253.5561</v>
      </c>
      <c r="D97" s="146" t="n">
        <f aca="false">D107*(100%+D$92)</f>
        <v>214.17</v>
      </c>
      <c r="E97" s="146" t="n">
        <f aca="false">E107*(100%+E$92)</f>
        <v>211.75</v>
      </c>
      <c r="F97" s="146" t="n">
        <f aca="false">F107*(100%+F$92)</f>
        <v>222</v>
      </c>
      <c r="G97" s="147" t="n">
        <f aca="false">G107*(100%+G$92)</f>
        <v>215.94</v>
      </c>
      <c r="H97" s="146" t="n">
        <f aca="false">H107*(100%+H$92)</f>
        <v>188.37</v>
      </c>
      <c r="I97" s="146" t="n">
        <f aca="false">I107*(100%+I$92)</f>
        <v>198.36</v>
      </c>
      <c r="J97" s="146" t="n">
        <f aca="false">J107*(100%+J$92)</f>
        <v>212.94</v>
      </c>
      <c r="K97" s="147" t="n">
        <f aca="false">K107*(100%+K$92)</f>
        <v>223.1</v>
      </c>
      <c r="L97" s="146" t="n">
        <f aca="false">L107*(100%+L$92)</f>
        <v>218.88</v>
      </c>
      <c r="M97" s="146" t="n">
        <f aca="false">M107*(100%+M$92)</f>
        <v>174.8</v>
      </c>
      <c r="N97" s="174"/>
      <c r="O97" s="154"/>
    </row>
    <row r="98" customFormat="false" ht="15.75" hidden="false" customHeight="true" outlineLevel="0" collapsed="false">
      <c r="A98" s="157" t="str">
        <f aca="false">A$7</f>
        <v>Open Day/Tryouts</v>
      </c>
      <c r="B98" s="147" t="n">
        <f aca="false">B108*(100%+B$92)</f>
        <v>734.4602</v>
      </c>
      <c r="C98" s="146" t="n">
        <f aca="false">C108*(100%+C$92)</f>
        <v>639.2043</v>
      </c>
      <c r="D98" s="146" t="n">
        <f aca="false">D108*(100%+D$92)</f>
        <v>614.68</v>
      </c>
      <c r="E98" s="146" t="n">
        <f aca="false">E108*(100%+E$92)</f>
        <v>563.86</v>
      </c>
      <c r="F98" s="146" t="n">
        <f aca="false">F108*(100%+F$92)</f>
        <v>646.8</v>
      </c>
      <c r="G98" s="147" t="n">
        <f aca="false">G108*(100%+G$92)</f>
        <v>560.5</v>
      </c>
      <c r="H98" s="146" t="n">
        <f aca="false">H108*(100%+H$92)</f>
        <v>523.575</v>
      </c>
      <c r="I98" s="146" t="n">
        <f aca="false">I108*(100%+I$92)</f>
        <v>487.2</v>
      </c>
      <c r="J98" s="146" t="n">
        <f aca="false">J108*(100%+J$92)</f>
        <v>628.29</v>
      </c>
      <c r="K98" s="147" t="n">
        <f aca="false">K108*(100%+K$92)</f>
        <v>500.25</v>
      </c>
      <c r="L98" s="146" t="n">
        <f aca="false">L108*(100%+L$92)</f>
        <v>544.92</v>
      </c>
      <c r="M98" s="146" t="n">
        <f aca="false">M108*(100%+M$92)</f>
        <v>560.05</v>
      </c>
      <c r="N98" s="174"/>
      <c r="O98" s="154"/>
    </row>
    <row r="99" customFormat="false" ht="15.75" hidden="false" customHeight="true" outlineLevel="0" collapsed="false">
      <c r="A99" s="68" t="str">
        <f aca="false">A$8</f>
        <v>Interacciones</v>
      </c>
      <c r="B99" s="148" t="n">
        <f aca="false">B109*(100%+B$92)</f>
        <v>1.832854</v>
      </c>
      <c r="C99" s="149" t="n">
        <f aca="false">C109*(100%+C$92)</f>
        <v>2.110437</v>
      </c>
      <c r="D99" s="149" t="n">
        <f aca="false">D109*(100%+D$92)</f>
        <v>1.21</v>
      </c>
      <c r="E99" s="149" t="n">
        <f aca="false">E109*(100%+E$92)</f>
        <v>1.21</v>
      </c>
      <c r="F99" s="149" t="n">
        <f aca="false">F109*(100%+F$92)</f>
        <v>1.2</v>
      </c>
      <c r="G99" s="148" t="n">
        <f aca="false">G109*(100%+G$92)</f>
        <v>1.652</v>
      </c>
      <c r="H99" s="149" t="n">
        <f aca="false">H109*(100%+H$92)</f>
        <v>1.755</v>
      </c>
      <c r="I99" s="149" t="n">
        <f aca="false">I109*(100%+I$92)</f>
        <v>1.74</v>
      </c>
      <c r="J99" s="150" t="n">
        <f aca="false">J109*(100%+J$92)</f>
        <v>1.872</v>
      </c>
      <c r="K99" s="149" t="n">
        <f aca="false">K109*(100%+K$92)</f>
        <v>1.564</v>
      </c>
      <c r="L99" s="149" t="n">
        <f aca="false">L109*(100%+L$92)</f>
        <v>2.28</v>
      </c>
      <c r="M99" s="149" t="n">
        <f aca="false">M109*(100%+M$92)</f>
        <v>2.0355</v>
      </c>
      <c r="N99" s="174"/>
      <c r="O99" s="154"/>
    </row>
    <row r="100" customFormat="false" ht="15.75" hidden="false" customHeight="true" outlineLevel="0" collapsed="false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154"/>
    </row>
    <row r="101" customFormat="false" ht="15.75" hidden="false" customHeight="true" outlineLevel="0" collapsed="false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154"/>
    </row>
    <row r="102" customFormat="false" ht="15.75" hidden="false" customHeight="true" outlineLevel="0" collapsed="false">
      <c r="A102" s="151" t="s">
        <v>155</v>
      </c>
      <c r="B102" s="152" t="n">
        <v>45870</v>
      </c>
      <c r="C102" s="153" t="n">
        <v>45901</v>
      </c>
      <c r="D102" s="153" t="n">
        <v>45931</v>
      </c>
      <c r="E102" s="153" t="n">
        <v>45962</v>
      </c>
      <c r="F102" s="175" t="n">
        <v>45992</v>
      </c>
      <c r="G102" s="152" t="n">
        <v>45658</v>
      </c>
      <c r="H102" s="153" t="n">
        <v>45689</v>
      </c>
      <c r="I102" s="153" t="n">
        <v>45717</v>
      </c>
      <c r="J102" s="153" t="n">
        <v>45748</v>
      </c>
      <c r="K102" s="50" t="n">
        <v>45778</v>
      </c>
      <c r="L102" s="51" t="n">
        <v>45809</v>
      </c>
      <c r="M102" s="51" t="n">
        <v>45839</v>
      </c>
      <c r="N102" s="176"/>
      <c r="O102" s="154"/>
    </row>
    <row r="103" customFormat="false" ht="15.75" hidden="false" customHeight="true" outlineLevel="0" collapsed="false">
      <c r="A103" s="146" t="str">
        <f aca="false">A$2</f>
        <v>Google SEM</v>
      </c>
      <c r="B103" s="142" t="n">
        <v>1353</v>
      </c>
      <c r="C103" s="143" t="n">
        <v>1595</v>
      </c>
      <c r="D103" s="143" t="n">
        <v>1605</v>
      </c>
      <c r="E103" s="143" t="n">
        <v>1589</v>
      </c>
      <c r="F103" s="177" t="n">
        <v>1573</v>
      </c>
      <c r="G103" s="142" t="n">
        <v>1577</v>
      </c>
      <c r="H103" s="143" t="n">
        <v>1632</v>
      </c>
      <c r="I103" s="143" t="n">
        <v>1453</v>
      </c>
      <c r="J103" s="143" t="n">
        <v>1082</v>
      </c>
      <c r="K103" s="178" t="n">
        <v>1452</v>
      </c>
      <c r="L103" s="179" t="n">
        <v>1678</v>
      </c>
      <c r="M103" s="179" t="n">
        <v>1303</v>
      </c>
      <c r="N103" s="180"/>
      <c r="O103" s="154"/>
    </row>
    <row r="104" customFormat="false" ht="15.75" hidden="false" customHeight="true" outlineLevel="0" collapsed="false">
      <c r="A104" s="146" t="str">
        <f aca="false">A$3</f>
        <v>Google PMax</v>
      </c>
      <c r="B104" s="142" t="n">
        <v>922</v>
      </c>
      <c r="C104" s="143" t="n">
        <v>996</v>
      </c>
      <c r="D104" s="143" t="n">
        <v>1100</v>
      </c>
      <c r="E104" s="143" t="n">
        <v>950</v>
      </c>
      <c r="F104" s="177" t="n">
        <v>956</v>
      </c>
      <c r="G104" s="142" t="n">
        <v>906</v>
      </c>
      <c r="H104" s="143" t="n">
        <v>880</v>
      </c>
      <c r="I104" s="143" t="n">
        <v>900</v>
      </c>
      <c r="J104" s="143" t="n">
        <v>1078</v>
      </c>
      <c r="K104" s="142" t="n">
        <v>1242</v>
      </c>
      <c r="L104" s="143" t="n">
        <v>1102</v>
      </c>
      <c r="M104" s="143" t="n">
        <v>1250</v>
      </c>
      <c r="N104" s="180"/>
      <c r="O104" s="154"/>
    </row>
    <row r="105" customFormat="false" ht="15.75" hidden="false" customHeight="true" outlineLevel="0" collapsed="false">
      <c r="A105" s="146" t="str">
        <f aca="false">A$4</f>
        <v>Meta: FB/IG Forms</v>
      </c>
      <c r="B105" s="142" t="n">
        <v>457</v>
      </c>
      <c r="C105" s="143" t="n">
        <v>460</v>
      </c>
      <c r="D105" s="143" t="n">
        <v>506</v>
      </c>
      <c r="E105" s="143" t="n">
        <v>462</v>
      </c>
      <c r="F105" s="177" t="n">
        <v>438</v>
      </c>
      <c r="G105" s="142" t="n">
        <v>490</v>
      </c>
      <c r="H105" s="143" t="n">
        <v>494</v>
      </c>
      <c r="I105" s="143" t="n">
        <v>402</v>
      </c>
      <c r="J105" s="143" t="n">
        <v>532</v>
      </c>
      <c r="K105" s="142" t="n">
        <v>532</v>
      </c>
      <c r="L105" s="143" t="n">
        <v>483</v>
      </c>
      <c r="M105" s="143" t="n">
        <v>484</v>
      </c>
      <c r="N105" s="180"/>
      <c r="O105" s="154"/>
    </row>
    <row r="106" customFormat="false" ht="15.75" hidden="false" customHeight="true" outlineLevel="0" collapsed="false">
      <c r="A106" s="157" t="str">
        <f aca="false">A$5</f>
        <v>Meta: Website Leads</v>
      </c>
      <c r="B106" s="142" t="n">
        <v>1784.0658</v>
      </c>
      <c r="C106" s="143" t="n">
        <v>2421.6885</v>
      </c>
      <c r="D106" s="143" t="n">
        <v>2292.711</v>
      </c>
      <c r="E106" s="143" t="n">
        <v>2315.6816</v>
      </c>
      <c r="F106" s="143" t="n">
        <v>2370.1464</v>
      </c>
      <c r="G106" s="142" t="n">
        <v>2364.6539</v>
      </c>
      <c r="H106" s="143" t="n">
        <v>2471.1848</v>
      </c>
      <c r="I106" s="143" t="n">
        <v>2099.6406</v>
      </c>
      <c r="J106" s="143" t="n">
        <v>1433.3254</v>
      </c>
      <c r="K106" s="142" t="n">
        <v>2248.372</v>
      </c>
      <c r="L106" s="143" t="n">
        <v>2658.1212</v>
      </c>
      <c r="M106" s="143" t="n">
        <v>2017.6955</v>
      </c>
      <c r="N106" s="180"/>
      <c r="O106" s="154"/>
    </row>
    <row r="107" customFormat="false" ht="15.75" hidden="false" customHeight="true" outlineLevel="0" collapsed="false">
      <c r="A107" s="146" t="str">
        <f aca="false">A$6</f>
        <v>Meta: Whatsapp</v>
      </c>
      <c r="B107" s="142" t="n">
        <v>172</v>
      </c>
      <c r="C107" s="143" t="n">
        <v>167</v>
      </c>
      <c r="D107" s="143" t="n">
        <v>177</v>
      </c>
      <c r="E107" s="143" t="n">
        <v>175</v>
      </c>
      <c r="F107" s="143" t="n">
        <v>185</v>
      </c>
      <c r="G107" s="142" t="n">
        <v>183</v>
      </c>
      <c r="H107" s="143" t="n">
        <v>161</v>
      </c>
      <c r="I107" s="143" t="n">
        <v>171</v>
      </c>
      <c r="J107" s="143" t="n">
        <v>182</v>
      </c>
      <c r="K107" s="142" t="n">
        <v>194</v>
      </c>
      <c r="L107" s="143" t="n">
        <v>192</v>
      </c>
      <c r="M107" s="143" t="n">
        <v>152</v>
      </c>
      <c r="N107" s="180"/>
      <c r="O107" s="154"/>
    </row>
    <row r="108" customFormat="false" ht="15.75" hidden="false" customHeight="true" outlineLevel="0" collapsed="false">
      <c r="A108" s="146" t="str">
        <f aca="false">A$7</f>
        <v>Open Day/Tryouts</v>
      </c>
      <c r="B108" s="142" t="n">
        <v>557</v>
      </c>
      <c r="C108" s="143" t="n">
        <v>421</v>
      </c>
      <c r="D108" s="143" t="n">
        <v>508</v>
      </c>
      <c r="E108" s="143" t="n">
        <v>466</v>
      </c>
      <c r="F108" s="143" t="n">
        <v>539</v>
      </c>
      <c r="G108" s="142" t="n">
        <v>475</v>
      </c>
      <c r="H108" s="143" t="n">
        <f aca="false">AVERAGE(G108,I108)</f>
        <v>447.5</v>
      </c>
      <c r="I108" s="143" t="n">
        <v>420</v>
      </c>
      <c r="J108" s="143" t="n">
        <v>537</v>
      </c>
      <c r="K108" s="142" t="n">
        <v>435</v>
      </c>
      <c r="L108" s="143" t="n">
        <v>478</v>
      </c>
      <c r="M108" s="143" t="n">
        <v>487</v>
      </c>
      <c r="N108" s="180"/>
      <c r="O108" s="154"/>
    </row>
    <row r="109" customFormat="false" ht="15.75" hidden="false" customHeight="true" outlineLevel="0" collapsed="false">
      <c r="A109" s="149" t="str">
        <f aca="false">A$8</f>
        <v>Interacciones</v>
      </c>
      <c r="B109" s="148" t="n">
        <v>1.39</v>
      </c>
      <c r="C109" s="149" t="n">
        <v>1.39</v>
      </c>
      <c r="D109" s="149" t="n">
        <v>1</v>
      </c>
      <c r="E109" s="149" t="n">
        <v>1</v>
      </c>
      <c r="F109" s="150" t="n">
        <v>1</v>
      </c>
      <c r="G109" s="148" t="n">
        <v>1.4</v>
      </c>
      <c r="H109" s="149" t="n">
        <v>1.5</v>
      </c>
      <c r="I109" s="149" t="n">
        <v>1.5</v>
      </c>
      <c r="J109" s="149" t="n">
        <v>1.6</v>
      </c>
      <c r="K109" s="148" t="n">
        <v>1.36</v>
      </c>
      <c r="L109" s="149" t="n">
        <v>2</v>
      </c>
      <c r="M109" s="149" t="n">
        <v>1.77</v>
      </c>
      <c r="N109" s="180"/>
      <c r="O109" s="154"/>
    </row>
    <row r="110" customFormat="false" ht="15.75" hidden="false" customHeight="true" outlineLevel="0" collapsed="false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154"/>
    </row>
    <row r="111" customFormat="false" ht="15.75" hidden="false" customHeight="true" outlineLevel="0" collapsed="false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154"/>
    </row>
    <row r="112" customFormat="false" ht="15.75" hidden="false" customHeight="true" outlineLevel="0" collapsed="false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154"/>
    </row>
    <row r="113" customFormat="false" ht="15.75" hidden="false" customHeight="true" outlineLevel="0" collapsed="false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154"/>
    </row>
    <row r="114" customFormat="false" ht="15.75" hidden="false" customHeight="true" outlineLevel="0" collapsed="false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154"/>
    </row>
    <row r="115" customFormat="false" ht="15.75" hidden="false" customHeight="true" outlineLevel="0" collapsed="false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154"/>
    </row>
    <row r="116" customFormat="false" ht="15.75" hidden="false" customHeight="true" outlineLevel="0" collapsed="false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154"/>
    </row>
    <row r="117" customFormat="false" ht="15.75" hidden="false" customHeight="true" outlineLevel="0" collapsed="false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154"/>
    </row>
    <row r="118" customFormat="false" ht="15.75" hidden="false" customHeight="true" outlineLevel="0" collapsed="false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154"/>
    </row>
    <row r="119" customFormat="false" ht="15.75" hidden="false" customHeight="true" outlineLevel="0" collapsed="false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154"/>
    </row>
    <row r="120" customFormat="false" ht="15.75" hidden="false" customHeight="true" outlineLevel="0" collapsed="false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154"/>
    </row>
    <row r="121" customFormat="false" ht="15.75" hidden="false" customHeight="true" outlineLevel="0" collapsed="false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154"/>
    </row>
    <row r="122" customFormat="false" ht="15.75" hidden="false" customHeight="true" outlineLevel="0" collapsed="false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154"/>
    </row>
    <row r="123" customFormat="false" ht="15.75" hidden="false" customHeight="true" outlineLevel="0" collapsed="false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154"/>
    </row>
    <row r="124" customFormat="false" ht="15.75" hidden="false" customHeight="true" outlineLevel="0" collapsed="false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154"/>
    </row>
    <row r="125" customFormat="false" ht="15.75" hidden="false" customHeight="true" outlineLevel="0" collapsed="false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154"/>
    </row>
    <row r="126" customFormat="false" ht="15.75" hidden="false" customHeight="true" outlineLevel="0" collapsed="false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154"/>
    </row>
    <row r="127" customFormat="false" ht="15.75" hidden="false" customHeight="true" outlineLevel="0" collapsed="false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154"/>
    </row>
    <row r="128" customFormat="false" ht="15.75" hidden="false" customHeight="true" outlineLevel="0" collapsed="false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154"/>
    </row>
    <row r="129" customFormat="false" ht="15.75" hidden="false" customHeight="true" outlineLevel="0" collapsed="false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154"/>
    </row>
    <row r="130" customFormat="false" ht="15.75" hidden="false" customHeight="true" outlineLevel="0" collapsed="false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154"/>
    </row>
    <row r="131" customFormat="false" ht="15.75" hidden="false" customHeight="true" outlineLevel="0" collapsed="false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154"/>
    </row>
    <row r="132" customFormat="false" ht="15.75" hidden="false" customHeight="true" outlineLevel="0" collapsed="false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154"/>
    </row>
    <row r="133" customFormat="false" ht="15.75" hidden="false" customHeight="true" outlineLevel="0" collapsed="false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154"/>
    </row>
    <row r="134" customFormat="false" ht="15.75" hidden="false" customHeight="true" outlineLevel="0" collapsed="false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154"/>
    </row>
    <row r="135" customFormat="false" ht="15.75" hidden="false" customHeight="true" outlineLevel="0" collapsed="false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154"/>
    </row>
    <row r="136" customFormat="false" ht="15.75" hidden="false" customHeight="true" outlineLevel="0" collapsed="false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154"/>
    </row>
    <row r="137" customFormat="false" ht="15.75" hidden="false" customHeight="true" outlineLevel="0" collapsed="false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154"/>
    </row>
    <row r="138" customFormat="false" ht="15.75" hidden="false" customHeight="true" outlineLevel="0" collapsed="false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154"/>
    </row>
    <row r="139" customFormat="false" ht="15.75" hidden="false" customHeight="true" outlineLevel="0" collapsed="false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154"/>
    </row>
    <row r="140" customFormat="false" ht="15.75" hidden="false" customHeight="true" outlineLevel="0" collapsed="false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154"/>
    </row>
    <row r="141" customFormat="false" ht="15.75" hidden="false" customHeight="true" outlineLevel="0" collapsed="false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154"/>
    </row>
    <row r="142" customFormat="false" ht="15.75" hidden="false" customHeight="true" outlineLevel="0" collapsed="false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154"/>
    </row>
    <row r="143" customFormat="false" ht="15.75" hidden="false" customHeight="true" outlineLevel="0" collapsed="false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154"/>
    </row>
    <row r="144" customFormat="false" ht="15.75" hidden="false" customHeight="true" outlineLevel="0" collapsed="false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154"/>
    </row>
    <row r="145" customFormat="false" ht="15.75" hidden="false" customHeight="true" outlineLevel="0" collapsed="false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154"/>
    </row>
    <row r="146" customFormat="false" ht="15.75" hidden="false" customHeight="true" outlineLevel="0" collapsed="false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154"/>
    </row>
    <row r="147" customFormat="false" ht="15.75" hidden="false" customHeight="true" outlineLevel="0" collapsed="false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154"/>
    </row>
    <row r="148" customFormat="false" ht="15.75" hidden="false" customHeight="true" outlineLevel="0" collapsed="false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154"/>
    </row>
    <row r="149" customFormat="false" ht="15.75" hidden="false" customHeight="true" outlineLevel="0" collapsed="false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154"/>
    </row>
    <row r="150" customFormat="false" ht="15.75" hidden="false" customHeight="true" outlineLevel="0" collapsed="false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154"/>
    </row>
    <row r="151" customFormat="false" ht="15.75" hidden="false" customHeight="true" outlineLevel="0" collapsed="false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154"/>
    </row>
    <row r="152" customFormat="false" ht="15.75" hidden="false" customHeight="true" outlineLevel="0" collapsed="false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154"/>
    </row>
    <row r="153" customFormat="false" ht="15.75" hidden="false" customHeight="true" outlineLevel="0" collapsed="false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154"/>
    </row>
    <row r="154" customFormat="false" ht="15.75" hidden="false" customHeight="true" outlineLevel="0" collapsed="false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154"/>
    </row>
    <row r="155" customFormat="false" ht="15.75" hidden="false" customHeight="true" outlineLevel="0" collapsed="false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154"/>
    </row>
    <row r="156" customFormat="false" ht="15.75" hidden="false" customHeight="true" outlineLevel="0" collapsed="false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154"/>
    </row>
    <row r="157" customFormat="false" ht="15.75" hidden="false" customHeight="true" outlineLevel="0" collapsed="false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154"/>
    </row>
    <row r="158" customFormat="false" ht="15.75" hidden="false" customHeight="true" outlineLevel="0" collapsed="false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154"/>
    </row>
    <row r="159" customFormat="false" ht="15.75" hidden="false" customHeight="true" outlineLevel="0" collapsed="false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154"/>
    </row>
    <row r="160" customFormat="false" ht="15.75" hidden="false" customHeight="true" outlineLevel="0" collapsed="false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154"/>
    </row>
    <row r="161" customFormat="false" ht="15.75" hidden="false" customHeight="true" outlineLevel="0" collapsed="false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154"/>
    </row>
    <row r="162" customFormat="false" ht="15.75" hidden="false" customHeight="true" outlineLevel="0" collapsed="false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154"/>
    </row>
    <row r="163" customFormat="false" ht="15.75" hidden="false" customHeight="true" outlineLevel="0" collapsed="false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154"/>
    </row>
    <row r="164" customFormat="false" ht="15.75" hidden="false" customHeight="true" outlineLevel="0" collapsed="false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154"/>
    </row>
    <row r="165" customFormat="false" ht="15.75" hidden="false" customHeight="true" outlineLevel="0" collapsed="false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154"/>
    </row>
    <row r="166" customFormat="false" ht="15.75" hidden="false" customHeight="true" outlineLevel="0" collapsed="false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154"/>
    </row>
    <row r="167" customFormat="false" ht="15.75" hidden="false" customHeight="true" outlineLevel="0" collapsed="false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154"/>
    </row>
    <row r="168" customFormat="false" ht="15.75" hidden="false" customHeight="true" outlineLevel="0" collapsed="false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154"/>
    </row>
    <row r="169" customFormat="false" ht="15.75" hidden="false" customHeight="true" outlineLevel="0" collapsed="false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154"/>
    </row>
    <row r="170" customFormat="false" ht="15.75" hidden="false" customHeight="true" outlineLevel="0" collapsed="false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154"/>
    </row>
    <row r="171" customFormat="false" ht="15.75" hidden="false" customHeight="true" outlineLevel="0" collapsed="false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154"/>
    </row>
    <row r="172" customFormat="false" ht="15.75" hidden="false" customHeight="true" outlineLevel="0" collapsed="false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154"/>
    </row>
    <row r="173" customFormat="false" ht="15.75" hidden="false" customHeight="true" outlineLevel="0" collapsed="false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154"/>
    </row>
    <row r="174" customFormat="false" ht="15.75" hidden="false" customHeight="true" outlineLevel="0" collapsed="false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154"/>
    </row>
    <row r="175" customFormat="false" ht="15.75" hidden="false" customHeight="true" outlineLevel="0" collapsed="false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154"/>
    </row>
    <row r="176" customFormat="false" ht="15.75" hidden="false" customHeight="true" outlineLevel="0" collapsed="false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154"/>
    </row>
    <row r="177" customFormat="false" ht="15.75" hidden="false" customHeight="true" outlineLevel="0" collapsed="false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154"/>
    </row>
    <row r="178" customFormat="false" ht="15.75" hidden="false" customHeight="true" outlineLevel="0" collapsed="false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154"/>
    </row>
    <row r="179" customFormat="false" ht="15.75" hidden="false" customHeight="true" outlineLevel="0" collapsed="false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154"/>
    </row>
    <row r="180" customFormat="false" ht="15.75" hidden="false" customHeight="true" outlineLevel="0" collapsed="false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154"/>
    </row>
    <row r="181" customFormat="false" ht="15.75" hidden="false" customHeight="true" outlineLevel="0" collapsed="false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154"/>
    </row>
    <row r="182" customFormat="false" ht="15.75" hidden="false" customHeight="true" outlineLevel="0" collapsed="false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154"/>
    </row>
    <row r="183" customFormat="false" ht="15.75" hidden="false" customHeight="true" outlineLevel="0" collapsed="false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154"/>
    </row>
    <row r="184" customFormat="false" ht="15.75" hidden="false" customHeight="true" outlineLevel="0" collapsed="false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154"/>
    </row>
    <row r="185" customFormat="false" ht="15.75" hidden="false" customHeight="true" outlineLevel="0" collapsed="false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154"/>
    </row>
    <row r="186" customFormat="false" ht="15.75" hidden="false" customHeight="true" outlineLevel="0" collapsed="false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154"/>
    </row>
    <row r="187" customFormat="false" ht="15.75" hidden="false" customHeight="true" outlineLevel="0" collapsed="false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154"/>
    </row>
    <row r="188" customFormat="false" ht="15.75" hidden="false" customHeight="true" outlineLevel="0" collapsed="false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154"/>
    </row>
    <row r="189" customFormat="false" ht="15.75" hidden="false" customHeight="true" outlineLevel="0" collapsed="false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154"/>
    </row>
    <row r="190" customFormat="false" ht="15.75" hidden="false" customHeight="true" outlineLevel="0" collapsed="false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154"/>
    </row>
    <row r="191" customFormat="false" ht="15.75" hidden="false" customHeight="true" outlineLevel="0" collapsed="false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154"/>
    </row>
    <row r="192" customFormat="false" ht="15.75" hidden="false" customHeight="true" outlineLevel="0" collapsed="false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154"/>
    </row>
    <row r="193" customFormat="false" ht="15.75" hidden="false" customHeight="true" outlineLevel="0" collapsed="false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154"/>
    </row>
    <row r="194" customFormat="false" ht="15.75" hidden="false" customHeight="true" outlineLevel="0" collapsed="false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154"/>
    </row>
    <row r="195" customFormat="false" ht="15.75" hidden="false" customHeight="true" outlineLevel="0" collapsed="false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154"/>
    </row>
    <row r="196" customFormat="false" ht="15.75" hidden="false" customHeight="true" outlineLevel="0" collapsed="false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154"/>
    </row>
    <row r="197" customFormat="false" ht="15.75" hidden="false" customHeight="true" outlineLevel="0" collapsed="false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154"/>
    </row>
    <row r="198" customFormat="false" ht="15.75" hidden="false" customHeight="true" outlineLevel="0" collapsed="false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154"/>
    </row>
    <row r="199" customFormat="false" ht="15.75" hidden="false" customHeight="true" outlineLevel="0" collapsed="false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154"/>
    </row>
    <row r="200" customFormat="false" ht="15.75" hidden="false" customHeight="true" outlineLevel="0" collapsed="false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154"/>
    </row>
    <row r="201" customFormat="false" ht="15.75" hidden="false" customHeight="true" outlineLevel="0" collapsed="false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154"/>
    </row>
    <row r="202" customFormat="false" ht="15.75" hidden="false" customHeight="true" outlineLevel="0" collapsed="false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154"/>
    </row>
    <row r="203" customFormat="false" ht="15.75" hidden="false" customHeight="true" outlineLevel="0" collapsed="false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154"/>
    </row>
    <row r="204" customFormat="false" ht="15.75" hidden="false" customHeight="true" outlineLevel="0" collapsed="false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154"/>
    </row>
    <row r="205" customFormat="false" ht="15.75" hidden="false" customHeight="true" outlineLevel="0" collapsed="false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154"/>
    </row>
    <row r="206" customFormat="false" ht="15.75" hidden="false" customHeight="true" outlineLevel="0" collapsed="false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154"/>
    </row>
    <row r="207" customFormat="false" ht="15.75" hidden="false" customHeight="true" outlineLevel="0" collapsed="false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154"/>
    </row>
    <row r="208" customFormat="false" ht="15.75" hidden="false" customHeight="true" outlineLevel="0" collapsed="false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154"/>
    </row>
    <row r="209" customFormat="false" ht="15.75" hidden="false" customHeight="true" outlineLevel="0" collapsed="false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154"/>
    </row>
    <row r="210" customFormat="false" ht="15.75" hidden="false" customHeight="true" outlineLevel="0" collapsed="false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154"/>
    </row>
    <row r="211" customFormat="false" ht="15.75" hidden="false" customHeight="true" outlineLevel="0" collapsed="false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154"/>
    </row>
    <row r="212" customFormat="false" ht="15.75" hidden="false" customHeight="true" outlineLevel="0" collapsed="false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154"/>
    </row>
    <row r="213" customFormat="false" ht="15.75" hidden="false" customHeight="true" outlineLevel="0" collapsed="false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154"/>
    </row>
    <row r="214" customFormat="false" ht="15.75" hidden="false" customHeight="true" outlineLevel="0" collapsed="false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154"/>
    </row>
    <row r="215" customFormat="false" ht="15.75" hidden="false" customHeight="true" outlineLevel="0" collapsed="false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154"/>
    </row>
    <row r="216" customFormat="false" ht="15.75" hidden="false" customHeight="true" outlineLevel="0" collapsed="false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154"/>
    </row>
    <row r="217" customFormat="false" ht="15.75" hidden="false" customHeight="true" outlineLevel="0" collapsed="false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154"/>
    </row>
    <row r="218" customFormat="false" ht="15.75" hidden="false" customHeight="true" outlineLevel="0" collapsed="false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154"/>
    </row>
    <row r="219" customFormat="false" ht="15.75" hidden="false" customHeight="true" outlineLevel="0" collapsed="false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154"/>
    </row>
    <row r="220" customFormat="false" ht="15.75" hidden="false" customHeight="true" outlineLevel="0" collapsed="false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154"/>
    </row>
    <row r="221" customFormat="false" ht="15.75" hidden="false" customHeight="true" outlineLevel="0" collapsed="false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154"/>
    </row>
    <row r="222" customFormat="false" ht="15.75" hidden="false" customHeight="true" outlineLevel="0" collapsed="false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154"/>
    </row>
    <row r="223" customFormat="false" ht="15.75" hidden="false" customHeight="true" outlineLevel="0" collapsed="false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154"/>
    </row>
    <row r="224" customFormat="false" ht="15.75" hidden="false" customHeight="true" outlineLevel="0" collapsed="false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154"/>
    </row>
    <row r="225" customFormat="false" ht="15.75" hidden="false" customHeight="true" outlineLevel="0" collapsed="false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154"/>
    </row>
    <row r="226" customFormat="false" ht="15.75" hidden="false" customHeight="true" outlineLevel="0" collapsed="false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154"/>
    </row>
    <row r="227" customFormat="false" ht="15.75" hidden="false" customHeight="true" outlineLevel="0" collapsed="false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154"/>
    </row>
    <row r="228" customFormat="false" ht="15.75" hidden="false" customHeight="true" outlineLevel="0" collapsed="false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154"/>
    </row>
    <row r="229" customFormat="false" ht="15.75" hidden="false" customHeight="true" outlineLevel="0" collapsed="false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154"/>
    </row>
    <row r="230" customFormat="false" ht="15.75" hidden="false" customHeight="true" outlineLevel="0" collapsed="false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154"/>
    </row>
    <row r="231" customFormat="false" ht="15.75" hidden="false" customHeight="true" outlineLevel="0" collapsed="false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154"/>
    </row>
    <row r="232" customFormat="false" ht="15.75" hidden="false" customHeight="true" outlineLevel="0" collapsed="false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154"/>
    </row>
    <row r="233" customFormat="false" ht="15.75" hidden="false" customHeight="true" outlineLevel="0" collapsed="false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154"/>
    </row>
    <row r="234" customFormat="false" ht="15.75" hidden="false" customHeight="true" outlineLevel="0" collapsed="false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154"/>
    </row>
    <row r="235" customFormat="false" ht="15.75" hidden="false" customHeight="true" outlineLevel="0" collapsed="false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154"/>
    </row>
    <row r="236" customFormat="false" ht="15.75" hidden="false" customHeight="true" outlineLevel="0" collapsed="false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154"/>
    </row>
    <row r="237" customFormat="false" ht="15.75" hidden="false" customHeight="true" outlineLevel="0" collapsed="false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154"/>
    </row>
    <row r="238" customFormat="false" ht="15.75" hidden="false" customHeight="true" outlineLevel="0" collapsed="false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154"/>
    </row>
    <row r="239" customFormat="false" ht="15.75" hidden="false" customHeight="true" outlineLevel="0" collapsed="false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154"/>
    </row>
    <row r="240" customFormat="false" ht="15.75" hidden="false" customHeight="true" outlineLevel="0" collapsed="false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154"/>
    </row>
    <row r="241" customFormat="false" ht="15.75" hidden="false" customHeight="true" outlineLevel="0" collapsed="false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154"/>
    </row>
    <row r="242" customFormat="false" ht="15.75" hidden="false" customHeight="true" outlineLevel="0" collapsed="false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154"/>
    </row>
    <row r="243" customFormat="false" ht="15.75" hidden="false" customHeight="true" outlineLevel="0" collapsed="false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154"/>
    </row>
    <row r="244" customFormat="false" ht="15.75" hidden="false" customHeight="true" outlineLevel="0" collapsed="false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154"/>
    </row>
    <row r="245" customFormat="false" ht="15.75" hidden="false" customHeight="true" outlineLevel="0" collapsed="false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154"/>
    </row>
    <row r="246" customFormat="false" ht="15.75" hidden="false" customHeight="true" outlineLevel="0" collapsed="false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154"/>
    </row>
    <row r="247" customFormat="false" ht="15.75" hidden="false" customHeight="true" outlineLevel="0" collapsed="false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154"/>
    </row>
    <row r="248" customFormat="false" ht="15.75" hidden="false" customHeight="true" outlineLevel="0" collapsed="false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154"/>
    </row>
    <row r="249" customFormat="false" ht="15.75" hidden="false" customHeight="true" outlineLevel="0" collapsed="false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154"/>
    </row>
    <row r="250" customFormat="false" ht="15.75" hidden="false" customHeight="true" outlineLevel="0" collapsed="false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154"/>
    </row>
    <row r="251" customFormat="false" ht="15.75" hidden="false" customHeight="true" outlineLevel="0" collapsed="false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154"/>
    </row>
    <row r="252" customFormat="false" ht="15.75" hidden="false" customHeight="true" outlineLevel="0" collapsed="false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154"/>
    </row>
    <row r="253" customFormat="false" ht="15.75" hidden="false" customHeight="true" outlineLevel="0" collapsed="false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154"/>
    </row>
    <row r="254" customFormat="false" ht="15.75" hidden="false" customHeight="true" outlineLevel="0" collapsed="false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154"/>
    </row>
    <row r="255" customFormat="false" ht="15.75" hidden="false" customHeight="true" outlineLevel="0" collapsed="false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154"/>
    </row>
    <row r="256" customFormat="false" ht="15.75" hidden="false" customHeight="true" outlineLevel="0" collapsed="false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154"/>
    </row>
    <row r="257" customFormat="false" ht="15.75" hidden="false" customHeight="true" outlineLevel="0" collapsed="false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154"/>
    </row>
    <row r="258" customFormat="false" ht="15.75" hidden="false" customHeight="true" outlineLevel="0" collapsed="false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154"/>
    </row>
    <row r="259" customFormat="false" ht="15.75" hidden="false" customHeight="true" outlineLevel="0" collapsed="false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154"/>
    </row>
    <row r="260" customFormat="false" ht="15.75" hidden="false" customHeight="true" outlineLevel="0" collapsed="false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154"/>
    </row>
    <row r="261" customFormat="false" ht="15.75" hidden="false" customHeight="true" outlineLevel="0" collapsed="false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154"/>
    </row>
    <row r="262" customFormat="false" ht="15.75" hidden="false" customHeight="true" outlineLevel="0" collapsed="false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154"/>
    </row>
    <row r="263" customFormat="false" ht="15.75" hidden="false" customHeight="true" outlineLevel="0" collapsed="false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154"/>
    </row>
    <row r="264" customFormat="false" ht="15.75" hidden="false" customHeight="true" outlineLevel="0" collapsed="false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154"/>
    </row>
    <row r="265" customFormat="false" ht="15.75" hidden="false" customHeight="true" outlineLevel="0" collapsed="false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154"/>
    </row>
    <row r="266" customFormat="false" ht="15.75" hidden="false" customHeight="true" outlineLevel="0" collapsed="false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154"/>
    </row>
    <row r="267" customFormat="false" ht="15.75" hidden="false" customHeight="true" outlineLevel="0" collapsed="false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154"/>
    </row>
    <row r="268" customFormat="false" ht="15.75" hidden="false" customHeight="true" outlineLevel="0" collapsed="false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154"/>
    </row>
    <row r="269" customFormat="false" ht="15.75" hidden="false" customHeight="true" outlineLevel="0" collapsed="false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154"/>
    </row>
    <row r="270" customFormat="false" ht="15.75" hidden="false" customHeight="true" outlineLevel="0" collapsed="false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154"/>
    </row>
    <row r="271" customFormat="false" ht="15.75" hidden="false" customHeight="true" outlineLevel="0" collapsed="false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154"/>
    </row>
    <row r="272" customFormat="false" ht="15.75" hidden="false" customHeight="true" outlineLevel="0" collapsed="false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154"/>
    </row>
    <row r="273" customFormat="false" ht="15.75" hidden="false" customHeight="true" outlineLevel="0" collapsed="false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154"/>
    </row>
    <row r="274" customFormat="false" ht="15.75" hidden="false" customHeight="true" outlineLevel="0" collapsed="false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154"/>
    </row>
    <row r="275" customFormat="false" ht="15.75" hidden="false" customHeight="true" outlineLevel="0" collapsed="false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154"/>
    </row>
    <row r="276" customFormat="false" ht="15.75" hidden="false" customHeight="true" outlineLevel="0" collapsed="false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154"/>
    </row>
    <row r="277" customFormat="false" ht="15.75" hidden="false" customHeight="true" outlineLevel="0" collapsed="false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154"/>
    </row>
    <row r="278" customFormat="false" ht="15.75" hidden="false" customHeight="true" outlineLevel="0" collapsed="false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154"/>
    </row>
    <row r="279" customFormat="false" ht="15.75" hidden="false" customHeight="true" outlineLevel="0" collapsed="false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154"/>
    </row>
    <row r="280" customFormat="false" ht="15.75" hidden="false" customHeight="true" outlineLevel="0" collapsed="false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154"/>
    </row>
    <row r="281" customFormat="false" ht="15.75" hidden="false" customHeight="true" outlineLevel="0" collapsed="false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154"/>
    </row>
    <row r="282" customFormat="false" ht="15.75" hidden="false" customHeight="true" outlineLevel="0" collapsed="false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154"/>
    </row>
    <row r="283" customFormat="false" ht="15.75" hidden="false" customHeight="true" outlineLevel="0" collapsed="false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154"/>
    </row>
    <row r="284" customFormat="false" ht="15.75" hidden="false" customHeight="true" outlineLevel="0" collapsed="false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154"/>
    </row>
    <row r="285" customFormat="false" ht="15.75" hidden="false" customHeight="true" outlineLevel="0" collapsed="false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154"/>
    </row>
    <row r="286" customFormat="false" ht="15.75" hidden="false" customHeight="true" outlineLevel="0" collapsed="false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154"/>
    </row>
    <row r="287" customFormat="false" ht="15.75" hidden="false" customHeight="true" outlineLevel="0" collapsed="false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154"/>
    </row>
    <row r="288" customFormat="false" ht="15.75" hidden="false" customHeight="true" outlineLevel="0" collapsed="false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154"/>
    </row>
    <row r="289" customFormat="false" ht="15.75" hidden="false" customHeight="true" outlineLevel="0" collapsed="false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154"/>
    </row>
    <row r="290" customFormat="false" ht="15.75" hidden="false" customHeight="true" outlineLevel="0" collapsed="false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154"/>
    </row>
    <row r="291" customFormat="false" ht="15.75" hidden="false" customHeight="true" outlineLevel="0" collapsed="false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154"/>
    </row>
    <row r="292" customFormat="false" ht="15.75" hidden="false" customHeight="true" outlineLevel="0" collapsed="false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154"/>
    </row>
    <row r="293" customFormat="false" ht="15.75" hidden="false" customHeight="true" outlineLevel="0" collapsed="false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154"/>
    </row>
    <row r="294" customFormat="false" ht="15.75" hidden="false" customHeight="true" outlineLevel="0" collapsed="false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154"/>
    </row>
    <row r="295" customFormat="false" ht="15.75" hidden="false" customHeight="true" outlineLevel="0" collapsed="false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154"/>
    </row>
    <row r="296" customFormat="false" ht="15.75" hidden="false" customHeight="true" outlineLevel="0" collapsed="false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154"/>
    </row>
    <row r="297" customFormat="false" ht="15.75" hidden="false" customHeight="true" outlineLevel="0" collapsed="false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154"/>
    </row>
    <row r="298" customFormat="false" ht="15.75" hidden="false" customHeight="true" outlineLevel="0" collapsed="false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154"/>
    </row>
    <row r="299" customFormat="false" ht="15.75" hidden="false" customHeight="true" outlineLevel="0" collapsed="false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154"/>
    </row>
    <row r="300" customFormat="false" ht="15.75" hidden="false" customHeight="true" outlineLevel="0" collapsed="false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154"/>
    </row>
    <row r="301" customFormat="false" ht="15.75" hidden="false" customHeight="true" outlineLevel="0" collapsed="false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154"/>
    </row>
    <row r="302" customFormat="false" ht="15.75" hidden="false" customHeight="true" outlineLevel="0" collapsed="false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154"/>
    </row>
    <row r="303" customFormat="false" ht="15.75" hidden="false" customHeight="true" outlineLevel="0" collapsed="false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154"/>
    </row>
    <row r="304" customFormat="false" ht="15.75" hidden="false" customHeight="true" outlineLevel="0" collapsed="false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154"/>
    </row>
    <row r="305" customFormat="false" ht="15.75" hidden="false" customHeight="true" outlineLevel="0" collapsed="false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154"/>
    </row>
    <row r="306" customFormat="false" ht="15.75" hidden="false" customHeight="true" outlineLevel="0" collapsed="false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154"/>
    </row>
    <row r="307" customFormat="false" ht="15.75" hidden="false" customHeight="true" outlineLevel="0" collapsed="false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154"/>
    </row>
    <row r="308" customFormat="false" ht="15.75" hidden="false" customHeight="true" outlineLevel="0" collapsed="false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154"/>
    </row>
    <row r="309" customFormat="false" ht="15.75" hidden="false" customHeight="true" outlineLevel="0" collapsed="false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154"/>
    </row>
    <row r="310" customFormat="false" ht="15.75" hidden="false" customHeight="true" outlineLevel="0" collapsed="false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154"/>
    </row>
    <row r="311" customFormat="false" ht="15.75" hidden="false" customHeight="true" outlineLevel="0" collapsed="false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154"/>
    </row>
    <row r="312" customFormat="false" ht="15.75" hidden="false" customHeight="true" outlineLevel="0" collapsed="false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154"/>
    </row>
    <row r="313" customFormat="false" ht="15.75" hidden="false" customHeight="true" outlineLevel="0" collapsed="false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154"/>
    </row>
    <row r="314" customFormat="false" ht="15.75" hidden="false" customHeight="true" outlineLevel="0" collapsed="false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154"/>
    </row>
    <row r="315" customFormat="false" ht="15.75" hidden="false" customHeight="true" outlineLevel="0" collapsed="false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154"/>
    </row>
    <row r="316" customFormat="false" ht="15.75" hidden="false" customHeight="true" outlineLevel="0" collapsed="false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154"/>
    </row>
    <row r="317" customFormat="false" ht="15.75" hidden="false" customHeight="true" outlineLevel="0" collapsed="false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154"/>
    </row>
    <row r="318" customFormat="false" ht="15.75" hidden="false" customHeight="true" outlineLevel="0" collapsed="false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154"/>
    </row>
    <row r="319" customFormat="false" ht="15.75" hidden="false" customHeight="true" outlineLevel="0" collapsed="false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154"/>
    </row>
    <row r="320" customFormat="false" ht="15.75" hidden="false" customHeight="true" outlineLevel="0" collapsed="false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154"/>
    </row>
    <row r="321" customFormat="false" ht="15.75" hidden="false" customHeight="true" outlineLevel="0" collapsed="false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154"/>
    </row>
    <row r="322" customFormat="false" ht="15.75" hidden="false" customHeight="true" outlineLevel="0" collapsed="false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154"/>
    </row>
    <row r="323" customFormat="false" ht="15.75" hidden="false" customHeight="true" outlineLevel="0" collapsed="false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154"/>
    </row>
    <row r="324" customFormat="false" ht="15.75" hidden="false" customHeight="true" outlineLevel="0" collapsed="false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154"/>
    </row>
    <row r="325" customFormat="false" ht="15.75" hidden="false" customHeight="true" outlineLevel="0" collapsed="false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154"/>
    </row>
    <row r="326" customFormat="false" ht="15.75" hidden="false" customHeight="true" outlineLevel="0" collapsed="false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154"/>
    </row>
    <row r="327" customFormat="false" ht="15.75" hidden="false" customHeight="true" outlineLevel="0" collapsed="false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154"/>
    </row>
    <row r="328" customFormat="false" ht="15.75" hidden="false" customHeight="true" outlineLevel="0" collapsed="false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154"/>
    </row>
    <row r="329" customFormat="false" ht="15.75" hidden="false" customHeight="true" outlineLevel="0" collapsed="false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154"/>
    </row>
    <row r="330" customFormat="false" ht="15.75" hidden="false" customHeight="true" outlineLevel="0" collapsed="false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154"/>
    </row>
    <row r="331" customFormat="false" ht="15.75" hidden="false" customHeight="true" outlineLevel="0" collapsed="false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154"/>
    </row>
    <row r="332" customFormat="false" ht="15.75" hidden="false" customHeight="true" outlineLevel="0" collapsed="false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154"/>
    </row>
    <row r="333" customFormat="false" ht="15.75" hidden="false" customHeight="true" outlineLevel="0" collapsed="false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154"/>
    </row>
    <row r="334" customFormat="false" ht="15.75" hidden="false" customHeight="true" outlineLevel="0" collapsed="false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154"/>
    </row>
    <row r="335" customFormat="false" ht="15.75" hidden="false" customHeight="true" outlineLevel="0" collapsed="false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154"/>
    </row>
    <row r="336" customFormat="false" ht="15.75" hidden="false" customHeight="true" outlineLevel="0" collapsed="false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154"/>
    </row>
    <row r="337" customFormat="false" ht="15.75" hidden="false" customHeight="true" outlineLevel="0" collapsed="false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154"/>
    </row>
    <row r="338" customFormat="false" ht="15.75" hidden="false" customHeight="true" outlineLevel="0" collapsed="false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154"/>
    </row>
    <row r="339" customFormat="false" ht="15.75" hidden="false" customHeight="true" outlineLevel="0" collapsed="false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154"/>
    </row>
    <row r="340" customFormat="false" ht="15.75" hidden="false" customHeight="true" outlineLevel="0" collapsed="false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154"/>
    </row>
    <row r="341" customFormat="false" ht="15.75" hidden="false" customHeight="true" outlineLevel="0" collapsed="false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154"/>
    </row>
    <row r="342" customFormat="false" ht="15.75" hidden="false" customHeight="true" outlineLevel="0" collapsed="false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154"/>
    </row>
    <row r="343" customFormat="false" ht="15.75" hidden="false" customHeight="true" outlineLevel="0" collapsed="false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154"/>
    </row>
    <row r="344" customFormat="false" ht="15.75" hidden="false" customHeight="true" outlineLevel="0" collapsed="false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154"/>
    </row>
    <row r="345" customFormat="false" ht="15.75" hidden="false" customHeight="true" outlineLevel="0" collapsed="false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154"/>
    </row>
    <row r="346" customFormat="false" ht="15.75" hidden="false" customHeight="true" outlineLevel="0" collapsed="false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154"/>
    </row>
    <row r="347" customFormat="false" ht="15.75" hidden="false" customHeight="true" outlineLevel="0" collapsed="false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154"/>
    </row>
    <row r="348" customFormat="false" ht="15.75" hidden="false" customHeight="true" outlineLevel="0" collapsed="false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154"/>
    </row>
    <row r="349" customFormat="false" ht="15.75" hidden="false" customHeight="true" outlineLevel="0" collapsed="false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154"/>
    </row>
    <row r="350" customFormat="false" ht="15.75" hidden="false" customHeight="true" outlineLevel="0" collapsed="false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154"/>
    </row>
    <row r="351" customFormat="false" ht="15.75" hidden="false" customHeight="true" outlineLevel="0" collapsed="false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154"/>
    </row>
    <row r="352" customFormat="false" ht="15.75" hidden="false" customHeight="true" outlineLevel="0" collapsed="false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154"/>
    </row>
    <row r="353" customFormat="false" ht="15.75" hidden="false" customHeight="true" outlineLevel="0" collapsed="false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154"/>
    </row>
    <row r="354" customFormat="false" ht="15.75" hidden="false" customHeight="true" outlineLevel="0" collapsed="false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154"/>
    </row>
    <row r="355" customFormat="false" ht="15.75" hidden="false" customHeight="true" outlineLevel="0" collapsed="false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154"/>
    </row>
    <row r="356" customFormat="false" ht="15.75" hidden="false" customHeight="true" outlineLevel="0" collapsed="false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154"/>
    </row>
    <row r="357" customFormat="false" ht="15.75" hidden="false" customHeight="true" outlineLevel="0" collapsed="false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154"/>
    </row>
    <row r="358" customFormat="false" ht="15.75" hidden="false" customHeight="true" outlineLevel="0" collapsed="false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154"/>
    </row>
    <row r="359" customFormat="false" ht="15.75" hidden="false" customHeight="true" outlineLevel="0" collapsed="false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154"/>
    </row>
    <row r="360" customFormat="false" ht="15.75" hidden="false" customHeight="true" outlineLevel="0" collapsed="false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154"/>
    </row>
    <row r="361" customFormat="false" ht="15.75" hidden="false" customHeight="true" outlineLevel="0" collapsed="false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154"/>
    </row>
    <row r="362" customFormat="false" ht="15.75" hidden="false" customHeight="true" outlineLevel="0" collapsed="false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154"/>
    </row>
    <row r="363" customFormat="false" ht="15.75" hidden="false" customHeight="true" outlineLevel="0" collapsed="false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154"/>
    </row>
    <row r="364" customFormat="false" ht="15.75" hidden="false" customHeight="true" outlineLevel="0" collapsed="false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154"/>
    </row>
    <row r="365" customFormat="false" ht="15.75" hidden="false" customHeight="true" outlineLevel="0" collapsed="false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154"/>
    </row>
    <row r="366" customFormat="false" ht="15.75" hidden="false" customHeight="true" outlineLevel="0" collapsed="false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154"/>
    </row>
    <row r="367" customFormat="false" ht="15.75" hidden="false" customHeight="true" outlineLevel="0" collapsed="false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154"/>
    </row>
    <row r="368" customFormat="false" ht="15.75" hidden="false" customHeight="true" outlineLevel="0" collapsed="false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154"/>
    </row>
    <row r="369" customFormat="false" ht="15.75" hidden="false" customHeight="true" outlineLevel="0" collapsed="false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154"/>
    </row>
    <row r="370" customFormat="false" ht="15.75" hidden="false" customHeight="true" outlineLevel="0" collapsed="false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154"/>
    </row>
    <row r="371" customFormat="false" ht="15.75" hidden="false" customHeight="true" outlineLevel="0" collapsed="false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154"/>
    </row>
    <row r="372" customFormat="false" ht="15.75" hidden="false" customHeight="true" outlineLevel="0" collapsed="false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154"/>
    </row>
    <row r="373" customFormat="false" ht="15.75" hidden="false" customHeight="true" outlineLevel="0" collapsed="false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154"/>
    </row>
    <row r="374" customFormat="false" ht="15.75" hidden="false" customHeight="true" outlineLevel="0" collapsed="false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154"/>
    </row>
    <row r="375" customFormat="false" ht="15.75" hidden="false" customHeight="true" outlineLevel="0" collapsed="false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154"/>
    </row>
    <row r="376" customFormat="false" ht="15.75" hidden="false" customHeight="true" outlineLevel="0" collapsed="false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154"/>
    </row>
    <row r="377" customFormat="false" ht="15.75" hidden="false" customHeight="true" outlineLevel="0" collapsed="false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154"/>
    </row>
    <row r="378" customFormat="false" ht="15.75" hidden="false" customHeight="true" outlineLevel="0" collapsed="false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154"/>
    </row>
    <row r="379" customFormat="false" ht="15.75" hidden="false" customHeight="true" outlineLevel="0" collapsed="false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154"/>
    </row>
    <row r="380" customFormat="false" ht="15.75" hidden="false" customHeight="true" outlineLevel="0" collapsed="false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154"/>
    </row>
    <row r="381" customFormat="false" ht="15.75" hidden="false" customHeight="true" outlineLevel="0" collapsed="false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154"/>
    </row>
    <row r="382" customFormat="false" ht="15.75" hidden="false" customHeight="true" outlineLevel="0" collapsed="false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154"/>
    </row>
    <row r="383" customFormat="false" ht="15.75" hidden="false" customHeight="true" outlineLevel="0" collapsed="false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154"/>
    </row>
    <row r="384" customFormat="false" ht="15.75" hidden="false" customHeight="true" outlineLevel="0" collapsed="false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154"/>
    </row>
    <row r="385" customFormat="false" ht="15.75" hidden="false" customHeight="true" outlineLevel="0" collapsed="false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154"/>
    </row>
    <row r="386" customFormat="false" ht="15.75" hidden="false" customHeight="true" outlineLevel="0" collapsed="false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154"/>
    </row>
    <row r="387" customFormat="false" ht="15.75" hidden="false" customHeight="true" outlineLevel="0" collapsed="false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154"/>
    </row>
    <row r="388" customFormat="false" ht="15.75" hidden="false" customHeight="true" outlineLevel="0" collapsed="false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154"/>
    </row>
    <row r="389" customFormat="false" ht="15.75" hidden="false" customHeight="true" outlineLevel="0" collapsed="false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154"/>
    </row>
    <row r="390" customFormat="false" ht="15.75" hidden="false" customHeight="true" outlineLevel="0" collapsed="false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154"/>
    </row>
    <row r="391" customFormat="false" ht="15.75" hidden="false" customHeight="true" outlineLevel="0" collapsed="false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154"/>
    </row>
    <row r="392" customFormat="false" ht="15.75" hidden="false" customHeight="true" outlineLevel="0" collapsed="false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154"/>
    </row>
    <row r="393" customFormat="false" ht="15.75" hidden="false" customHeight="true" outlineLevel="0" collapsed="false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154"/>
    </row>
    <row r="394" customFormat="false" ht="15.75" hidden="false" customHeight="true" outlineLevel="0" collapsed="false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154"/>
    </row>
    <row r="395" customFormat="false" ht="15.75" hidden="false" customHeight="true" outlineLevel="0" collapsed="false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154"/>
    </row>
    <row r="396" customFormat="false" ht="15.75" hidden="false" customHeight="true" outlineLevel="0" collapsed="false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154"/>
    </row>
    <row r="397" customFormat="false" ht="15.75" hidden="false" customHeight="true" outlineLevel="0" collapsed="false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154"/>
    </row>
    <row r="398" customFormat="false" ht="15.75" hidden="false" customHeight="true" outlineLevel="0" collapsed="false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154"/>
    </row>
    <row r="399" customFormat="false" ht="15.75" hidden="false" customHeight="true" outlineLevel="0" collapsed="false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154"/>
    </row>
    <row r="400" customFormat="false" ht="15.75" hidden="false" customHeight="true" outlineLevel="0" collapsed="false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154"/>
    </row>
    <row r="401" customFormat="false" ht="15.75" hidden="false" customHeight="true" outlineLevel="0" collapsed="false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154"/>
    </row>
    <row r="402" customFormat="false" ht="15.75" hidden="false" customHeight="true" outlineLevel="0" collapsed="false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154"/>
    </row>
    <row r="403" customFormat="false" ht="15.75" hidden="false" customHeight="true" outlineLevel="0" collapsed="false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154"/>
    </row>
    <row r="404" customFormat="false" ht="15.75" hidden="false" customHeight="true" outlineLevel="0" collapsed="false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154"/>
    </row>
    <row r="405" customFormat="false" ht="15.75" hidden="false" customHeight="true" outlineLevel="0" collapsed="false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154"/>
    </row>
    <row r="406" customFormat="false" ht="15.75" hidden="false" customHeight="true" outlineLevel="0" collapsed="false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154"/>
    </row>
    <row r="407" customFormat="false" ht="15.75" hidden="false" customHeight="true" outlineLevel="0" collapsed="false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154"/>
    </row>
    <row r="408" customFormat="false" ht="15.75" hidden="false" customHeight="true" outlineLevel="0" collapsed="false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154"/>
    </row>
    <row r="409" customFormat="false" ht="15.75" hidden="false" customHeight="true" outlineLevel="0" collapsed="false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154"/>
    </row>
    <row r="410" customFormat="false" ht="15.75" hidden="false" customHeight="true" outlineLevel="0" collapsed="false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154"/>
    </row>
    <row r="411" customFormat="false" ht="15.75" hidden="false" customHeight="true" outlineLevel="0" collapsed="false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154"/>
    </row>
    <row r="412" customFormat="false" ht="15.75" hidden="false" customHeight="true" outlineLevel="0" collapsed="false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154"/>
    </row>
    <row r="413" customFormat="false" ht="15.75" hidden="false" customHeight="true" outlineLevel="0" collapsed="false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154"/>
    </row>
    <row r="414" customFormat="false" ht="15.75" hidden="false" customHeight="true" outlineLevel="0" collapsed="false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154"/>
    </row>
    <row r="415" customFormat="false" ht="15.75" hidden="false" customHeight="true" outlineLevel="0" collapsed="false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154"/>
    </row>
    <row r="416" customFormat="false" ht="15.75" hidden="false" customHeight="true" outlineLevel="0" collapsed="false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154"/>
    </row>
    <row r="417" customFormat="false" ht="15.75" hidden="false" customHeight="true" outlineLevel="0" collapsed="false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154"/>
    </row>
    <row r="418" customFormat="false" ht="15.75" hidden="false" customHeight="true" outlineLevel="0" collapsed="false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154"/>
    </row>
    <row r="419" customFormat="false" ht="15.75" hidden="false" customHeight="true" outlineLevel="0" collapsed="false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154"/>
    </row>
    <row r="420" customFormat="false" ht="15.75" hidden="false" customHeight="true" outlineLevel="0" collapsed="false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154"/>
    </row>
    <row r="421" customFormat="false" ht="15.75" hidden="false" customHeight="true" outlineLevel="0" collapsed="false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154"/>
    </row>
    <row r="422" customFormat="false" ht="15.75" hidden="false" customHeight="true" outlineLevel="0" collapsed="false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154"/>
    </row>
    <row r="423" customFormat="false" ht="15.75" hidden="false" customHeight="true" outlineLevel="0" collapsed="false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154"/>
    </row>
    <row r="424" customFormat="false" ht="15.75" hidden="false" customHeight="true" outlineLevel="0" collapsed="false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154"/>
    </row>
    <row r="425" customFormat="false" ht="15.75" hidden="false" customHeight="true" outlineLevel="0" collapsed="false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154"/>
    </row>
    <row r="426" customFormat="false" ht="15.75" hidden="false" customHeight="true" outlineLevel="0" collapsed="false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154"/>
    </row>
    <row r="427" customFormat="false" ht="15.75" hidden="false" customHeight="true" outlineLevel="0" collapsed="false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154"/>
    </row>
    <row r="428" customFormat="false" ht="15.75" hidden="false" customHeight="true" outlineLevel="0" collapsed="false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154"/>
    </row>
    <row r="429" customFormat="false" ht="15.75" hidden="false" customHeight="true" outlineLevel="0" collapsed="false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154"/>
    </row>
    <row r="430" customFormat="false" ht="15.75" hidden="false" customHeight="true" outlineLevel="0" collapsed="false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154"/>
    </row>
    <row r="431" customFormat="false" ht="15.75" hidden="false" customHeight="true" outlineLevel="0" collapsed="false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154"/>
    </row>
    <row r="432" customFormat="false" ht="15.75" hidden="false" customHeight="true" outlineLevel="0" collapsed="false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154"/>
    </row>
    <row r="433" customFormat="false" ht="15.75" hidden="false" customHeight="true" outlineLevel="0" collapsed="false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154"/>
    </row>
    <row r="434" customFormat="false" ht="15.75" hidden="false" customHeight="true" outlineLevel="0" collapsed="false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154"/>
    </row>
    <row r="435" customFormat="false" ht="15.75" hidden="false" customHeight="true" outlineLevel="0" collapsed="false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154"/>
    </row>
    <row r="436" customFormat="false" ht="15.75" hidden="false" customHeight="true" outlineLevel="0" collapsed="false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154"/>
    </row>
    <row r="437" customFormat="false" ht="15.75" hidden="false" customHeight="true" outlineLevel="0" collapsed="false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154"/>
    </row>
    <row r="438" customFormat="false" ht="15.75" hidden="false" customHeight="true" outlineLevel="0" collapsed="false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154"/>
    </row>
    <row r="439" customFormat="false" ht="15.75" hidden="false" customHeight="true" outlineLevel="0" collapsed="false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154"/>
    </row>
    <row r="440" customFormat="false" ht="15.75" hidden="false" customHeight="true" outlineLevel="0" collapsed="false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154"/>
    </row>
    <row r="441" customFormat="false" ht="15.75" hidden="false" customHeight="true" outlineLevel="0" collapsed="false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154"/>
    </row>
    <row r="442" customFormat="false" ht="15.75" hidden="false" customHeight="true" outlineLevel="0" collapsed="false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154"/>
    </row>
    <row r="443" customFormat="false" ht="15.75" hidden="false" customHeight="true" outlineLevel="0" collapsed="false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154"/>
    </row>
    <row r="444" customFormat="false" ht="15.75" hidden="false" customHeight="true" outlineLevel="0" collapsed="false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154"/>
    </row>
    <row r="445" customFormat="false" ht="15.75" hidden="false" customHeight="true" outlineLevel="0" collapsed="false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154"/>
    </row>
    <row r="446" customFormat="false" ht="15.75" hidden="false" customHeight="true" outlineLevel="0" collapsed="false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154"/>
    </row>
    <row r="447" customFormat="false" ht="15.75" hidden="false" customHeight="true" outlineLevel="0" collapsed="false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154"/>
    </row>
    <row r="448" customFormat="false" ht="15.75" hidden="false" customHeight="true" outlineLevel="0" collapsed="false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154"/>
    </row>
    <row r="449" customFormat="false" ht="15.75" hidden="false" customHeight="true" outlineLevel="0" collapsed="false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154"/>
    </row>
    <row r="450" customFormat="false" ht="15.75" hidden="false" customHeight="true" outlineLevel="0" collapsed="false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154"/>
    </row>
    <row r="451" customFormat="false" ht="15.75" hidden="false" customHeight="true" outlineLevel="0" collapsed="false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154"/>
    </row>
    <row r="452" customFormat="false" ht="15.75" hidden="false" customHeight="true" outlineLevel="0" collapsed="false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154"/>
    </row>
    <row r="453" customFormat="false" ht="15.75" hidden="false" customHeight="true" outlineLevel="0" collapsed="false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154"/>
    </row>
    <row r="454" customFormat="false" ht="15.75" hidden="false" customHeight="true" outlineLevel="0" collapsed="false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154"/>
    </row>
    <row r="455" customFormat="false" ht="15.75" hidden="false" customHeight="true" outlineLevel="0" collapsed="false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154"/>
    </row>
    <row r="456" customFormat="false" ht="15.75" hidden="false" customHeight="true" outlineLevel="0" collapsed="false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154"/>
    </row>
    <row r="457" customFormat="false" ht="15.75" hidden="false" customHeight="true" outlineLevel="0" collapsed="false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154"/>
    </row>
    <row r="458" customFormat="false" ht="15.75" hidden="false" customHeight="true" outlineLevel="0" collapsed="false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154"/>
    </row>
    <row r="459" customFormat="false" ht="15.75" hidden="false" customHeight="true" outlineLevel="0" collapsed="false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154"/>
    </row>
    <row r="460" customFormat="false" ht="15.75" hidden="false" customHeight="true" outlineLevel="0" collapsed="false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154"/>
    </row>
    <row r="461" customFormat="false" ht="15.75" hidden="false" customHeight="true" outlineLevel="0" collapsed="false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154"/>
    </row>
    <row r="462" customFormat="false" ht="15.75" hidden="false" customHeight="true" outlineLevel="0" collapsed="false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154"/>
    </row>
    <row r="463" customFormat="false" ht="15.75" hidden="false" customHeight="true" outlineLevel="0" collapsed="false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154"/>
    </row>
    <row r="464" customFormat="false" ht="15.75" hidden="false" customHeight="true" outlineLevel="0" collapsed="false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154"/>
    </row>
    <row r="465" customFormat="false" ht="15.75" hidden="false" customHeight="true" outlineLevel="0" collapsed="false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154"/>
    </row>
    <row r="466" customFormat="false" ht="15.75" hidden="false" customHeight="true" outlineLevel="0" collapsed="false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154"/>
    </row>
    <row r="467" customFormat="false" ht="15.75" hidden="false" customHeight="true" outlineLevel="0" collapsed="false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154"/>
    </row>
    <row r="468" customFormat="false" ht="15.75" hidden="false" customHeight="true" outlineLevel="0" collapsed="false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154"/>
    </row>
    <row r="469" customFormat="false" ht="15.75" hidden="false" customHeight="true" outlineLevel="0" collapsed="false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154"/>
    </row>
    <row r="470" customFormat="false" ht="15.75" hidden="false" customHeight="true" outlineLevel="0" collapsed="false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154"/>
    </row>
    <row r="471" customFormat="false" ht="15.75" hidden="false" customHeight="true" outlineLevel="0" collapsed="false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154"/>
    </row>
    <row r="472" customFormat="false" ht="15.75" hidden="false" customHeight="true" outlineLevel="0" collapsed="false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154"/>
    </row>
    <row r="473" customFormat="false" ht="15.75" hidden="false" customHeight="true" outlineLevel="0" collapsed="false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154"/>
    </row>
    <row r="474" customFormat="false" ht="15.75" hidden="false" customHeight="true" outlineLevel="0" collapsed="false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154"/>
    </row>
    <row r="475" customFormat="false" ht="15.75" hidden="false" customHeight="true" outlineLevel="0" collapsed="false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154"/>
    </row>
    <row r="476" customFormat="false" ht="15.75" hidden="false" customHeight="true" outlineLevel="0" collapsed="false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154"/>
    </row>
    <row r="477" customFormat="false" ht="15.75" hidden="false" customHeight="true" outlineLevel="0" collapsed="false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154"/>
    </row>
    <row r="478" customFormat="false" ht="15.75" hidden="false" customHeight="true" outlineLevel="0" collapsed="false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154"/>
    </row>
    <row r="479" customFormat="false" ht="15.75" hidden="false" customHeight="true" outlineLevel="0" collapsed="false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154"/>
    </row>
    <row r="480" customFormat="false" ht="15.75" hidden="false" customHeight="true" outlineLevel="0" collapsed="false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154"/>
    </row>
    <row r="481" customFormat="false" ht="15.75" hidden="false" customHeight="true" outlineLevel="0" collapsed="false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154"/>
    </row>
    <row r="482" customFormat="false" ht="15.75" hidden="false" customHeight="true" outlineLevel="0" collapsed="false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154"/>
    </row>
    <row r="483" customFormat="false" ht="15.75" hidden="false" customHeight="true" outlineLevel="0" collapsed="false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154"/>
    </row>
    <row r="484" customFormat="false" ht="15.75" hidden="false" customHeight="true" outlineLevel="0" collapsed="false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154"/>
    </row>
    <row r="485" customFormat="false" ht="15.75" hidden="false" customHeight="true" outlineLevel="0" collapsed="false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154"/>
    </row>
    <row r="486" customFormat="false" ht="15.75" hidden="false" customHeight="true" outlineLevel="0" collapsed="false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154"/>
    </row>
    <row r="487" customFormat="false" ht="15.75" hidden="false" customHeight="true" outlineLevel="0" collapsed="false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154"/>
    </row>
    <row r="488" customFormat="false" ht="15.75" hidden="false" customHeight="true" outlineLevel="0" collapsed="false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154"/>
    </row>
    <row r="489" customFormat="false" ht="15.75" hidden="false" customHeight="true" outlineLevel="0" collapsed="false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154"/>
    </row>
    <row r="490" customFormat="false" ht="15.75" hidden="false" customHeight="true" outlineLevel="0" collapsed="false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154"/>
    </row>
    <row r="491" customFormat="false" ht="15.75" hidden="false" customHeight="true" outlineLevel="0" collapsed="false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154"/>
    </row>
    <row r="492" customFormat="false" ht="15.75" hidden="false" customHeight="true" outlineLevel="0" collapsed="false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154"/>
    </row>
    <row r="493" customFormat="false" ht="15.75" hidden="false" customHeight="true" outlineLevel="0" collapsed="false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154"/>
    </row>
    <row r="494" customFormat="false" ht="15.75" hidden="false" customHeight="true" outlineLevel="0" collapsed="false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154"/>
    </row>
    <row r="495" customFormat="false" ht="15.75" hidden="false" customHeight="true" outlineLevel="0" collapsed="false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154"/>
    </row>
    <row r="496" customFormat="false" ht="15.75" hidden="false" customHeight="true" outlineLevel="0" collapsed="false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154"/>
    </row>
    <row r="497" customFormat="false" ht="15.75" hidden="false" customHeight="true" outlineLevel="0" collapsed="false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154"/>
    </row>
    <row r="498" customFormat="false" ht="15.75" hidden="false" customHeight="true" outlineLevel="0" collapsed="false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154"/>
    </row>
    <row r="499" customFormat="false" ht="15.75" hidden="false" customHeight="true" outlineLevel="0" collapsed="false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154"/>
    </row>
    <row r="500" customFormat="false" ht="15.75" hidden="false" customHeight="true" outlineLevel="0" collapsed="false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154"/>
    </row>
    <row r="501" customFormat="false" ht="15.75" hidden="false" customHeight="true" outlineLevel="0" collapsed="false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154"/>
    </row>
    <row r="502" customFormat="false" ht="15.75" hidden="false" customHeight="true" outlineLevel="0" collapsed="false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154"/>
    </row>
    <row r="503" customFormat="false" ht="15.75" hidden="false" customHeight="true" outlineLevel="0" collapsed="false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154"/>
    </row>
    <row r="504" customFormat="false" ht="15.75" hidden="false" customHeight="true" outlineLevel="0" collapsed="false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154"/>
    </row>
    <row r="505" customFormat="false" ht="15.75" hidden="false" customHeight="true" outlineLevel="0" collapsed="false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154"/>
    </row>
    <row r="506" customFormat="false" ht="15.75" hidden="false" customHeight="true" outlineLevel="0" collapsed="false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154"/>
    </row>
    <row r="507" customFormat="false" ht="15.75" hidden="false" customHeight="true" outlineLevel="0" collapsed="false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154"/>
    </row>
    <row r="508" customFormat="false" ht="15.75" hidden="false" customHeight="true" outlineLevel="0" collapsed="false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154"/>
    </row>
    <row r="509" customFormat="false" ht="15.75" hidden="false" customHeight="true" outlineLevel="0" collapsed="false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154"/>
    </row>
    <row r="510" customFormat="false" ht="15.75" hidden="false" customHeight="true" outlineLevel="0" collapsed="false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154"/>
    </row>
    <row r="511" customFormat="false" ht="15.75" hidden="false" customHeight="true" outlineLevel="0" collapsed="false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154"/>
    </row>
    <row r="512" customFormat="false" ht="15.75" hidden="false" customHeight="true" outlineLevel="0" collapsed="false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154"/>
    </row>
    <row r="513" customFormat="false" ht="15.75" hidden="false" customHeight="true" outlineLevel="0" collapsed="false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154"/>
    </row>
    <row r="514" customFormat="false" ht="15.75" hidden="false" customHeight="true" outlineLevel="0" collapsed="false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154"/>
    </row>
    <row r="515" customFormat="false" ht="15.75" hidden="false" customHeight="true" outlineLevel="0" collapsed="false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154"/>
    </row>
    <row r="516" customFormat="false" ht="15.75" hidden="false" customHeight="true" outlineLevel="0" collapsed="false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154"/>
    </row>
    <row r="517" customFormat="false" ht="15.75" hidden="false" customHeight="true" outlineLevel="0" collapsed="false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154"/>
    </row>
    <row r="518" customFormat="false" ht="15.75" hidden="false" customHeight="true" outlineLevel="0" collapsed="false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154"/>
    </row>
    <row r="519" customFormat="false" ht="15.75" hidden="false" customHeight="true" outlineLevel="0" collapsed="false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154"/>
    </row>
    <row r="520" customFormat="false" ht="15.75" hidden="false" customHeight="true" outlineLevel="0" collapsed="false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154"/>
    </row>
    <row r="521" customFormat="false" ht="15.75" hidden="false" customHeight="true" outlineLevel="0" collapsed="false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154"/>
    </row>
    <row r="522" customFormat="false" ht="15.75" hidden="false" customHeight="true" outlineLevel="0" collapsed="false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154"/>
    </row>
    <row r="523" customFormat="false" ht="15.75" hidden="false" customHeight="true" outlineLevel="0" collapsed="false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154"/>
    </row>
    <row r="524" customFormat="false" ht="15.75" hidden="false" customHeight="true" outlineLevel="0" collapsed="false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154"/>
    </row>
    <row r="525" customFormat="false" ht="15.75" hidden="false" customHeight="true" outlineLevel="0" collapsed="false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154"/>
    </row>
    <row r="526" customFormat="false" ht="15.75" hidden="false" customHeight="true" outlineLevel="0" collapsed="false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154"/>
    </row>
    <row r="527" customFormat="false" ht="15.75" hidden="false" customHeight="true" outlineLevel="0" collapsed="false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154"/>
    </row>
    <row r="528" customFormat="false" ht="15.75" hidden="false" customHeight="true" outlineLevel="0" collapsed="false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154"/>
    </row>
    <row r="529" customFormat="false" ht="15.75" hidden="false" customHeight="true" outlineLevel="0" collapsed="false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154"/>
    </row>
    <row r="530" customFormat="false" ht="15.75" hidden="false" customHeight="true" outlineLevel="0" collapsed="false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154"/>
    </row>
    <row r="531" customFormat="false" ht="15.75" hidden="false" customHeight="true" outlineLevel="0" collapsed="false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154"/>
    </row>
    <row r="532" customFormat="false" ht="15.75" hidden="false" customHeight="true" outlineLevel="0" collapsed="false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154"/>
    </row>
    <row r="533" customFormat="false" ht="15.75" hidden="false" customHeight="true" outlineLevel="0" collapsed="false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154"/>
    </row>
    <row r="534" customFormat="false" ht="15.75" hidden="false" customHeight="true" outlineLevel="0" collapsed="false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154"/>
    </row>
    <row r="535" customFormat="false" ht="15.75" hidden="false" customHeight="true" outlineLevel="0" collapsed="false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154"/>
    </row>
    <row r="536" customFormat="false" ht="15.75" hidden="false" customHeight="true" outlineLevel="0" collapsed="false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154"/>
    </row>
    <row r="537" customFormat="false" ht="15.75" hidden="false" customHeight="true" outlineLevel="0" collapsed="false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154"/>
    </row>
    <row r="538" customFormat="false" ht="15.75" hidden="false" customHeight="true" outlineLevel="0" collapsed="false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154"/>
    </row>
    <row r="539" customFormat="false" ht="15.75" hidden="false" customHeight="true" outlineLevel="0" collapsed="false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154"/>
    </row>
    <row r="540" customFormat="false" ht="15.75" hidden="false" customHeight="true" outlineLevel="0" collapsed="false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154"/>
    </row>
    <row r="541" customFormat="false" ht="15.75" hidden="false" customHeight="true" outlineLevel="0" collapsed="false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154"/>
    </row>
    <row r="542" customFormat="false" ht="15.75" hidden="false" customHeight="true" outlineLevel="0" collapsed="false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154"/>
    </row>
    <row r="543" customFormat="false" ht="15.75" hidden="false" customHeight="true" outlineLevel="0" collapsed="false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154"/>
    </row>
    <row r="544" customFormat="false" ht="15.75" hidden="false" customHeight="true" outlineLevel="0" collapsed="false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154"/>
    </row>
    <row r="545" customFormat="false" ht="15.75" hidden="false" customHeight="true" outlineLevel="0" collapsed="false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154"/>
    </row>
    <row r="546" customFormat="false" ht="15.75" hidden="false" customHeight="true" outlineLevel="0" collapsed="false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154"/>
    </row>
    <row r="547" customFormat="false" ht="15.75" hidden="false" customHeight="true" outlineLevel="0" collapsed="false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154"/>
    </row>
    <row r="548" customFormat="false" ht="15.75" hidden="false" customHeight="true" outlineLevel="0" collapsed="false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154"/>
    </row>
    <row r="549" customFormat="false" ht="15.75" hidden="false" customHeight="true" outlineLevel="0" collapsed="false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154"/>
    </row>
    <row r="550" customFormat="false" ht="15.75" hidden="false" customHeight="true" outlineLevel="0" collapsed="false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154"/>
    </row>
    <row r="551" customFormat="false" ht="15.75" hidden="false" customHeight="true" outlineLevel="0" collapsed="false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154"/>
    </row>
    <row r="552" customFormat="false" ht="15.75" hidden="false" customHeight="true" outlineLevel="0" collapsed="false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154"/>
    </row>
    <row r="553" customFormat="false" ht="15.75" hidden="false" customHeight="true" outlineLevel="0" collapsed="false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154"/>
    </row>
    <row r="554" customFormat="false" ht="15.75" hidden="false" customHeight="true" outlineLevel="0" collapsed="false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154"/>
    </row>
    <row r="555" customFormat="false" ht="15.75" hidden="false" customHeight="true" outlineLevel="0" collapsed="false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154"/>
    </row>
    <row r="556" customFormat="false" ht="15.75" hidden="false" customHeight="true" outlineLevel="0" collapsed="false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154"/>
    </row>
    <row r="557" customFormat="false" ht="15.75" hidden="false" customHeight="true" outlineLevel="0" collapsed="false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154"/>
    </row>
    <row r="558" customFormat="false" ht="15.75" hidden="false" customHeight="true" outlineLevel="0" collapsed="false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154"/>
    </row>
    <row r="559" customFormat="false" ht="15.75" hidden="false" customHeight="true" outlineLevel="0" collapsed="false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154"/>
    </row>
    <row r="560" customFormat="false" ht="15.75" hidden="false" customHeight="true" outlineLevel="0" collapsed="false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154"/>
    </row>
    <row r="561" customFormat="false" ht="15.75" hidden="false" customHeight="true" outlineLevel="0" collapsed="false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154"/>
    </row>
    <row r="562" customFormat="false" ht="15.75" hidden="false" customHeight="true" outlineLevel="0" collapsed="false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154"/>
    </row>
    <row r="563" customFormat="false" ht="15.75" hidden="false" customHeight="true" outlineLevel="0" collapsed="false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154"/>
    </row>
    <row r="564" customFormat="false" ht="15.75" hidden="false" customHeight="true" outlineLevel="0" collapsed="false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154"/>
    </row>
    <row r="565" customFormat="false" ht="15.75" hidden="false" customHeight="true" outlineLevel="0" collapsed="false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154"/>
    </row>
    <row r="566" customFormat="false" ht="15.75" hidden="false" customHeight="true" outlineLevel="0" collapsed="false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154"/>
    </row>
    <row r="567" customFormat="false" ht="15.75" hidden="false" customHeight="true" outlineLevel="0" collapsed="false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154"/>
    </row>
    <row r="568" customFormat="false" ht="15.75" hidden="false" customHeight="true" outlineLevel="0" collapsed="false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154"/>
    </row>
    <row r="569" customFormat="false" ht="15.75" hidden="false" customHeight="true" outlineLevel="0" collapsed="false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154"/>
    </row>
    <row r="570" customFormat="false" ht="15.75" hidden="false" customHeight="true" outlineLevel="0" collapsed="false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154"/>
    </row>
    <row r="571" customFormat="false" ht="15.75" hidden="false" customHeight="true" outlineLevel="0" collapsed="false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154"/>
    </row>
    <row r="572" customFormat="false" ht="15.75" hidden="false" customHeight="true" outlineLevel="0" collapsed="false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154"/>
    </row>
    <row r="573" customFormat="false" ht="15.75" hidden="false" customHeight="true" outlineLevel="0" collapsed="false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154"/>
    </row>
    <row r="574" customFormat="false" ht="15.75" hidden="false" customHeight="true" outlineLevel="0" collapsed="false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154"/>
    </row>
    <row r="575" customFormat="false" ht="15.75" hidden="false" customHeight="true" outlineLevel="0" collapsed="false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154"/>
    </row>
    <row r="576" customFormat="false" ht="15.75" hidden="false" customHeight="true" outlineLevel="0" collapsed="false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154"/>
    </row>
    <row r="577" customFormat="false" ht="15.75" hidden="false" customHeight="true" outlineLevel="0" collapsed="false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154"/>
    </row>
    <row r="578" customFormat="false" ht="15.75" hidden="false" customHeight="true" outlineLevel="0" collapsed="false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154"/>
    </row>
    <row r="579" customFormat="false" ht="15.75" hidden="false" customHeight="true" outlineLevel="0" collapsed="false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154"/>
    </row>
    <row r="580" customFormat="false" ht="15.75" hidden="false" customHeight="true" outlineLevel="0" collapsed="false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154"/>
    </row>
    <row r="581" customFormat="false" ht="15.75" hidden="false" customHeight="true" outlineLevel="0" collapsed="false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154"/>
    </row>
    <row r="582" customFormat="false" ht="15.75" hidden="false" customHeight="true" outlineLevel="0" collapsed="false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154"/>
    </row>
    <row r="583" customFormat="false" ht="15.75" hidden="false" customHeight="true" outlineLevel="0" collapsed="false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154"/>
    </row>
    <row r="584" customFormat="false" ht="15.75" hidden="false" customHeight="true" outlineLevel="0" collapsed="false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154"/>
    </row>
    <row r="585" customFormat="false" ht="15.75" hidden="false" customHeight="true" outlineLevel="0" collapsed="false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154"/>
    </row>
    <row r="586" customFormat="false" ht="15.75" hidden="false" customHeight="true" outlineLevel="0" collapsed="false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154"/>
    </row>
    <row r="587" customFormat="false" ht="15.75" hidden="false" customHeight="true" outlineLevel="0" collapsed="false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154"/>
    </row>
    <row r="588" customFormat="false" ht="15.75" hidden="false" customHeight="true" outlineLevel="0" collapsed="false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154"/>
    </row>
    <row r="589" customFormat="false" ht="15.75" hidden="false" customHeight="true" outlineLevel="0" collapsed="false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154"/>
    </row>
    <row r="590" customFormat="false" ht="15.75" hidden="false" customHeight="true" outlineLevel="0" collapsed="false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154"/>
    </row>
    <row r="591" customFormat="false" ht="15.75" hidden="false" customHeight="true" outlineLevel="0" collapsed="false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154"/>
    </row>
    <row r="592" customFormat="false" ht="15.75" hidden="false" customHeight="true" outlineLevel="0" collapsed="false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154"/>
    </row>
    <row r="593" customFormat="false" ht="15.75" hidden="false" customHeight="true" outlineLevel="0" collapsed="false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154"/>
    </row>
    <row r="594" customFormat="false" ht="15.75" hidden="false" customHeight="true" outlineLevel="0" collapsed="false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154"/>
    </row>
    <row r="595" customFormat="false" ht="15.75" hidden="false" customHeight="true" outlineLevel="0" collapsed="false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154"/>
    </row>
    <row r="596" customFormat="false" ht="15.75" hidden="false" customHeight="true" outlineLevel="0" collapsed="false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154"/>
    </row>
    <row r="597" customFormat="false" ht="15.75" hidden="false" customHeight="true" outlineLevel="0" collapsed="false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154"/>
    </row>
    <row r="598" customFormat="false" ht="15.75" hidden="false" customHeight="true" outlineLevel="0" collapsed="false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154"/>
    </row>
    <row r="599" customFormat="false" ht="15.75" hidden="false" customHeight="true" outlineLevel="0" collapsed="false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154"/>
    </row>
    <row r="600" customFormat="false" ht="15.75" hidden="false" customHeight="true" outlineLevel="0" collapsed="false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154"/>
    </row>
    <row r="601" customFormat="false" ht="15.75" hidden="false" customHeight="true" outlineLevel="0" collapsed="false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154"/>
    </row>
    <row r="602" customFormat="false" ht="15.75" hidden="false" customHeight="true" outlineLevel="0" collapsed="false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154"/>
    </row>
    <row r="603" customFormat="false" ht="15.75" hidden="false" customHeight="true" outlineLevel="0" collapsed="false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154"/>
    </row>
    <row r="604" customFormat="false" ht="15.75" hidden="false" customHeight="true" outlineLevel="0" collapsed="false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154"/>
    </row>
    <row r="605" customFormat="false" ht="15.75" hidden="false" customHeight="true" outlineLevel="0" collapsed="false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154"/>
    </row>
    <row r="606" customFormat="false" ht="15.75" hidden="false" customHeight="true" outlineLevel="0" collapsed="false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154"/>
    </row>
    <row r="607" customFormat="false" ht="15.75" hidden="false" customHeight="true" outlineLevel="0" collapsed="false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154"/>
    </row>
    <row r="608" customFormat="false" ht="15.75" hidden="false" customHeight="true" outlineLevel="0" collapsed="false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154"/>
    </row>
    <row r="609" customFormat="false" ht="15.75" hidden="false" customHeight="true" outlineLevel="0" collapsed="false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154"/>
    </row>
    <row r="610" customFormat="false" ht="15.75" hidden="false" customHeight="true" outlineLevel="0" collapsed="false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154"/>
    </row>
    <row r="611" customFormat="false" ht="15.75" hidden="false" customHeight="true" outlineLevel="0" collapsed="false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154"/>
    </row>
    <row r="612" customFormat="false" ht="15.75" hidden="false" customHeight="true" outlineLevel="0" collapsed="false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154"/>
    </row>
    <row r="613" customFormat="false" ht="15.75" hidden="false" customHeight="true" outlineLevel="0" collapsed="false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154"/>
    </row>
    <row r="614" customFormat="false" ht="15.75" hidden="false" customHeight="true" outlineLevel="0" collapsed="false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154"/>
    </row>
    <row r="615" customFormat="false" ht="15.75" hidden="false" customHeight="true" outlineLevel="0" collapsed="false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154"/>
    </row>
    <row r="616" customFormat="false" ht="15.75" hidden="false" customHeight="true" outlineLevel="0" collapsed="false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154"/>
    </row>
    <row r="617" customFormat="false" ht="15.75" hidden="false" customHeight="true" outlineLevel="0" collapsed="false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154"/>
    </row>
    <row r="618" customFormat="false" ht="15.75" hidden="false" customHeight="true" outlineLevel="0" collapsed="false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154"/>
    </row>
    <row r="619" customFormat="false" ht="15.75" hidden="false" customHeight="true" outlineLevel="0" collapsed="false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154"/>
    </row>
    <row r="620" customFormat="false" ht="15.75" hidden="false" customHeight="true" outlineLevel="0" collapsed="false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154"/>
    </row>
    <row r="621" customFormat="false" ht="15.75" hidden="false" customHeight="true" outlineLevel="0" collapsed="false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154"/>
    </row>
    <row r="622" customFormat="false" ht="15.75" hidden="false" customHeight="true" outlineLevel="0" collapsed="false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154"/>
    </row>
    <row r="623" customFormat="false" ht="15.75" hidden="false" customHeight="true" outlineLevel="0" collapsed="false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154"/>
    </row>
    <row r="624" customFormat="false" ht="15.75" hidden="false" customHeight="true" outlineLevel="0" collapsed="false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154"/>
    </row>
    <row r="625" customFormat="false" ht="15.75" hidden="false" customHeight="true" outlineLevel="0" collapsed="false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154"/>
    </row>
    <row r="626" customFormat="false" ht="15.75" hidden="false" customHeight="true" outlineLevel="0" collapsed="false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154"/>
    </row>
    <row r="627" customFormat="false" ht="15.75" hidden="false" customHeight="true" outlineLevel="0" collapsed="false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154"/>
    </row>
    <row r="628" customFormat="false" ht="15.75" hidden="false" customHeight="true" outlineLevel="0" collapsed="false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154"/>
    </row>
    <row r="629" customFormat="false" ht="15.75" hidden="false" customHeight="true" outlineLevel="0" collapsed="false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154"/>
    </row>
    <row r="630" customFormat="false" ht="15.75" hidden="false" customHeight="true" outlineLevel="0" collapsed="false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154"/>
    </row>
    <row r="631" customFormat="false" ht="15.75" hidden="false" customHeight="true" outlineLevel="0" collapsed="false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154"/>
    </row>
    <row r="632" customFormat="false" ht="15.75" hidden="false" customHeight="true" outlineLevel="0" collapsed="false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154"/>
    </row>
    <row r="633" customFormat="false" ht="15.75" hidden="false" customHeight="true" outlineLevel="0" collapsed="false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154"/>
    </row>
    <row r="634" customFormat="false" ht="15.75" hidden="false" customHeight="true" outlineLevel="0" collapsed="false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154"/>
    </row>
    <row r="635" customFormat="false" ht="15.75" hidden="false" customHeight="true" outlineLevel="0" collapsed="false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154"/>
    </row>
    <row r="636" customFormat="false" ht="15.75" hidden="false" customHeight="true" outlineLevel="0" collapsed="false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154"/>
    </row>
    <row r="637" customFormat="false" ht="15.75" hidden="false" customHeight="true" outlineLevel="0" collapsed="false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154"/>
    </row>
    <row r="638" customFormat="false" ht="15.75" hidden="false" customHeight="true" outlineLevel="0" collapsed="false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154"/>
    </row>
    <row r="639" customFormat="false" ht="15.75" hidden="false" customHeight="true" outlineLevel="0" collapsed="false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154"/>
    </row>
    <row r="640" customFormat="false" ht="15.75" hidden="false" customHeight="true" outlineLevel="0" collapsed="false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154"/>
    </row>
    <row r="641" customFormat="false" ht="15.75" hidden="false" customHeight="true" outlineLevel="0" collapsed="false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154"/>
    </row>
    <row r="642" customFormat="false" ht="15.75" hidden="false" customHeight="true" outlineLevel="0" collapsed="false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154"/>
    </row>
    <row r="643" customFormat="false" ht="15.75" hidden="false" customHeight="true" outlineLevel="0" collapsed="false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154"/>
    </row>
    <row r="644" customFormat="false" ht="15.75" hidden="false" customHeight="true" outlineLevel="0" collapsed="false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154"/>
    </row>
    <row r="645" customFormat="false" ht="15.75" hidden="false" customHeight="true" outlineLevel="0" collapsed="false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154"/>
    </row>
    <row r="646" customFormat="false" ht="15.75" hidden="false" customHeight="true" outlineLevel="0" collapsed="false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154"/>
    </row>
    <row r="647" customFormat="false" ht="15.75" hidden="false" customHeight="true" outlineLevel="0" collapsed="false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154"/>
    </row>
    <row r="648" customFormat="false" ht="15.75" hidden="false" customHeight="true" outlineLevel="0" collapsed="false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154"/>
    </row>
    <row r="649" customFormat="false" ht="15.75" hidden="false" customHeight="true" outlineLevel="0" collapsed="false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154"/>
    </row>
    <row r="650" customFormat="false" ht="15.75" hidden="false" customHeight="true" outlineLevel="0" collapsed="false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154"/>
    </row>
    <row r="651" customFormat="false" ht="15.75" hidden="false" customHeight="true" outlineLevel="0" collapsed="false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154"/>
    </row>
    <row r="652" customFormat="false" ht="15.75" hidden="false" customHeight="true" outlineLevel="0" collapsed="false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154"/>
    </row>
    <row r="653" customFormat="false" ht="15.75" hidden="false" customHeight="true" outlineLevel="0" collapsed="false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154"/>
    </row>
    <row r="654" customFormat="false" ht="15.75" hidden="false" customHeight="true" outlineLevel="0" collapsed="false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154"/>
    </row>
    <row r="655" customFormat="false" ht="15.75" hidden="false" customHeight="true" outlineLevel="0" collapsed="false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154"/>
    </row>
    <row r="656" customFormat="false" ht="15.75" hidden="false" customHeight="true" outlineLevel="0" collapsed="false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154"/>
    </row>
    <row r="657" customFormat="false" ht="15.75" hidden="false" customHeight="true" outlineLevel="0" collapsed="false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154"/>
    </row>
    <row r="658" customFormat="false" ht="15.75" hidden="false" customHeight="true" outlineLevel="0" collapsed="false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154"/>
    </row>
    <row r="659" customFormat="false" ht="15.75" hidden="false" customHeight="true" outlineLevel="0" collapsed="false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154"/>
    </row>
    <row r="660" customFormat="false" ht="15.75" hidden="false" customHeight="true" outlineLevel="0" collapsed="false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154"/>
    </row>
    <row r="661" customFormat="false" ht="15.75" hidden="false" customHeight="true" outlineLevel="0" collapsed="false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154"/>
    </row>
    <row r="662" customFormat="false" ht="15.75" hidden="false" customHeight="true" outlineLevel="0" collapsed="false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154"/>
    </row>
    <row r="663" customFormat="false" ht="15.75" hidden="false" customHeight="true" outlineLevel="0" collapsed="false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154"/>
    </row>
    <row r="664" customFormat="false" ht="15.75" hidden="false" customHeight="true" outlineLevel="0" collapsed="false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154"/>
    </row>
    <row r="665" customFormat="false" ht="15.75" hidden="false" customHeight="true" outlineLevel="0" collapsed="false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154"/>
    </row>
    <row r="666" customFormat="false" ht="15.75" hidden="false" customHeight="true" outlineLevel="0" collapsed="false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154"/>
    </row>
    <row r="667" customFormat="false" ht="15.75" hidden="false" customHeight="true" outlineLevel="0" collapsed="false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154"/>
    </row>
    <row r="668" customFormat="false" ht="15.75" hidden="false" customHeight="true" outlineLevel="0" collapsed="false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154"/>
    </row>
    <row r="669" customFormat="false" ht="15.75" hidden="false" customHeight="true" outlineLevel="0" collapsed="false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154"/>
    </row>
    <row r="670" customFormat="false" ht="15.75" hidden="false" customHeight="true" outlineLevel="0" collapsed="false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154"/>
    </row>
    <row r="671" customFormat="false" ht="15.75" hidden="false" customHeight="true" outlineLevel="0" collapsed="false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154"/>
    </row>
    <row r="672" customFormat="false" ht="15.75" hidden="false" customHeight="true" outlineLevel="0" collapsed="false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154"/>
    </row>
    <row r="673" customFormat="false" ht="15.75" hidden="false" customHeight="true" outlineLevel="0" collapsed="false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154"/>
    </row>
    <row r="674" customFormat="false" ht="15.75" hidden="false" customHeight="true" outlineLevel="0" collapsed="false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154"/>
    </row>
    <row r="675" customFormat="false" ht="15.75" hidden="false" customHeight="true" outlineLevel="0" collapsed="false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154"/>
    </row>
    <row r="676" customFormat="false" ht="15.75" hidden="false" customHeight="true" outlineLevel="0" collapsed="false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154"/>
    </row>
    <row r="677" customFormat="false" ht="15.75" hidden="false" customHeight="true" outlineLevel="0" collapsed="false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154"/>
    </row>
    <row r="678" customFormat="false" ht="15.75" hidden="false" customHeight="true" outlineLevel="0" collapsed="false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154"/>
    </row>
    <row r="679" customFormat="false" ht="15.75" hidden="false" customHeight="true" outlineLevel="0" collapsed="false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154"/>
    </row>
    <row r="680" customFormat="false" ht="15.75" hidden="false" customHeight="true" outlineLevel="0" collapsed="false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154"/>
    </row>
    <row r="681" customFormat="false" ht="15.75" hidden="false" customHeight="true" outlineLevel="0" collapsed="false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154"/>
    </row>
    <row r="682" customFormat="false" ht="15.75" hidden="false" customHeight="true" outlineLevel="0" collapsed="false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154"/>
    </row>
    <row r="683" customFormat="false" ht="15.75" hidden="false" customHeight="true" outlineLevel="0" collapsed="false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154"/>
    </row>
    <row r="684" customFormat="false" ht="15.75" hidden="false" customHeight="true" outlineLevel="0" collapsed="false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154"/>
    </row>
    <row r="685" customFormat="false" ht="15.75" hidden="false" customHeight="true" outlineLevel="0" collapsed="false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154"/>
    </row>
    <row r="686" customFormat="false" ht="15.75" hidden="false" customHeight="true" outlineLevel="0" collapsed="false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154"/>
    </row>
    <row r="687" customFormat="false" ht="15.75" hidden="false" customHeight="true" outlineLevel="0" collapsed="false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154"/>
    </row>
    <row r="688" customFormat="false" ht="15.75" hidden="false" customHeight="true" outlineLevel="0" collapsed="false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154"/>
    </row>
    <row r="689" customFormat="false" ht="15.75" hidden="false" customHeight="true" outlineLevel="0" collapsed="false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154"/>
    </row>
    <row r="690" customFormat="false" ht="15.75" hidden="false" customHeight="true" outlineLevel="0" collapsed="false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154"/>
    </row>
    <row r="691" customFormat="false" ht="15.75" hidden="false" customHeight="true" outlineLevel="0" collapsed="false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154"/>
    </row>
    <row r="692" customFormat="false" ht="15.75" hidden="false" customHeight="true" outlineLevel="0" collapsed="false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154"/>
    </row>
    <row r="693" customFormat="false" ht="15.75" hidden="false" customHeight="true" outlineLevel="0" collapsed="false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154"/>
    </row>
    <row r="694" customFormat="false" ht="15.75" hidden="false" customHeight="true" outlineLevel="0" collapsed="false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154"/>
    </row>
    <row r="695" customFormat="false" ht="15.75" hidden="false" customHeight="true" outlineLevel="0" collapsed="false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154"/>
    </row>
    <row r="696" customFormat="false" ht="15.75" hidden="false" customHeight="true" outlineLevel="0" collapsed="false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154"/>
    </row>
    <row r="697" customFormat="false" ht="15.75" hidden="false" customHeight="true" outlineLevel="0" collapsed="false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154"/>
    </row>
    <row r="698" customFormat="false" ht="15.75" hidden="false" customHeight="true" outlineLevel="0" collapsed="false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154"/>
    </row>
    <row r="699" customFormat="false" ht="15.75" hidden="false" customHeight="true" outlineLevel="0" collapsed="false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154"/>
    </row>
    <row r="700" customFormat="false" ht="15.75" hidden="false" customHeight="true" outlineLevel="0" collapsed="false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154"/>
    </row>
    <row r="701" customFormat="false" ht="15.75" hidden="false" customHeight="true" outlineLevel="0" collapsed="false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154"/>
    </row>
    <row r="702" customFormat="false" ht="15.75" hidden="false" customHeight="true" outlineLevel="0" collapsed="false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154"/>
    </row>
    <row r="703" customFormat="false" ht="15.75" hidden="false" customHeight="true" outlineLevel="0" collapsed="false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154"/>
    </row>
    <row r="704" customFormat="false" ht="15.75" hidden="false" customHeight="true" outlineLevel="0" collapsed="false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154"/>
    </row>
    <row r="705" customFormat="false" ht="15.75" hidden="false" customHeight="true" outlineLevel="0" collapsed="false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154"/>
    </row>
    <row r="706" customFormat="false" ht="15.75" hidden="false" customHeight="true" outlineLevel="0" collapsed="false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154"/>
    </row>
    <row r="707" customFormat="false" ht="15.75" hidden="false" customHeight="true" outlineLevel="0" collapsed="false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154"/>
    </row>
    <row r="708" customFormat="false" ht="15.75" hidden="false" customHeight="true" outlineLevel="0" collapsed="false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154"/>
    </row>
    <row r="709" customFormat="false" ht="15.75" hidden="false" customHeight="true" outlineLevel="0" collapsed="false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154"/>
    </row>
    <row r="710" customFormat="false" ht="15.75" hidden="false" customHeight="true" outlineLevel="0" collapsed="false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154"/>
    </row>
    <row r="711" customFormat="false" ht="15.75" hidden="false" customHeight="true" outlineLevel="0" collapsed="false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154"/>
    </row>
    <row r="712" customFormat="false" ht="15.75" hidden="false" customHeight="true" outlineLevel="0" collapsed="false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154"/>
    </row>
    <row r="713" customFormat="false" ht="15.75" hidden="false" customHeight="true" outlineLevel="0" collapsed="false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154"/>
    </row>
    <row r="714" customFormat="false" ht="15.75" hidden="false" customHeight="true" outlineLevel="0" collapsed="false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154"/>
    </row>
    <row r="715" customFormat="false" ht="15.75" hidden="false" customHeight="true" outlineLevel="0" collapsed="false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154"/>
    </row>
    <row r="716" customFormat="false" ht="15.75" hidden="false" customHeight="true" outlineLevel="0" collapsed="false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154"/>
    </row>
    <row r="717" customFormat="false" ht="15.75" hidden="false" customHeight="true" outlineLevel="0" collapsed="false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154"/>
    </row>
    <row r="718" customFormat="false" ht="15.75" hidden="false" customHeight="true" outlineLevel="0" collapsed="false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154"/>
    </row>
    <row r="719" customFormat="false" ht="15.75" hidden="false" customHeight="true" outlineLevel="0" collapsed="false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154"/>
    </row>
    <row r="720" customFormat="false" ht="15.75" hidden="false" customHeight="true" outlineLevel="0" collapsed="false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154"/>
    </row>
    <row r="721" customFormat="false" ht="15.75" hidden="false" customHeight="true" outlineLevel="0" collapsed="false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154"/>
    </row>
    <row r="722" customFormat="false" ht="15.75" hidden="false" customHeight="true" outlineLevel="0" collapsed="false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154"/>
    </row>
    <row r="723" customFormat="false" ht="15.75" hidden="false" customHeight="true" outlineLevel="0" collapsed="false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154"/>
    </row>
    <row r="724" customFormat="false" ht="15.75" hidden="false" customHeight="true" outlineLevel="0" collapsed="false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154"/>
    </row>
    <row r="725" customFormat="false" ht="15.75" hidden="false" customHeight="true" outlineLevel="0" collapsed="false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154"/>
    </row>
    <row r="726" customFormat="false" ht="15.75" hidden="false" customHeight="true" outlineLevel="0" collapsed="false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154"/>
    </row>
    <row r="727" customFormat="false" ht="15.75" hidden="false" customHeight="true" outlineLevel="0" collapsed="false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154"/>
    </row>
    <row r="728" customFormat="false" ht="15.75" hidden="false" customHeight="true" outlineLevel="0" collapsed="false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154"/>
    </row>
    <row r="729" customFormat="false" ht="15.75" hidden="false" customHeight="true" outlineLevel="0" collapsed="false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154"/>
    </row>
    <row r="730" customFormat="false" ht="15.75" hidden="false" customHeight="true" outlineLevel="0" collapsed="false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154"/>
    </row>
    <row r="731" customFormat="false" ht="15.75" hidden="false" customHeight="true" outlineLevel="0" collapsed="false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154"/>
    </row>
    <row r="732" customFormat="false" ht="15.75" hidden="false" customHeight="true" outlineLevel="0" collapsed="false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154"/>
    </row>
    <row r="733" customFormat="false" ht="15.75" hidden="false" customHeight="true" outlineLevel="0" collapsed="false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154"/>
    </row>
    <row r="734" customFormat="false" ht="15.75" hidden="false" customHeight="true" outlineLevel="0" collapsed="false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154"/>
    </row>
    <row r="735" customFormat="false" ht="15.75" hidden="false" customHeight="true" outlineLevel="0" collapsed="false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154"/>
    </row>
    <row r="736" customFormat="false" ht="15.75" hidden="false" customHeight="true" outlineLevel="0" collapsed="false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154"/>
    </row>
    <row r="737" customFormat="false" ht="15.75" hidden="false" customHeight="true" outlineLevel="0" collapsed="false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154"/>
    </row>
    <row r="738" customFormat="false" ht="15.75" hidden="false" customHeight="true" outlineLevel="0" collapsed="false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154"/>
    </row>
    <row r="739" customFormat="false" ht="15.75" hidden="false" customHeight="true" outlineLevel="0" collapsed="false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154"/>
    </row>
    <row r="740" customFormat="false" ht="15.75" hidden="false" customHeight="true" outlineLevel="0" collapsed="false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154"/>
    </row>
    <row r="741" customFormat="false" ht="15.75" hidden="false" customHeight="true" outlineLevel="0" collapsed="false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154"/>
    </row>
    <row r="742" customFormat="false" ht="15.75" hidden="false" customHeight="true" outlineLevel="0" collapsed="false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154"/>
    </row>
    <row r="743" customFormat="false" ht="15.75" hidden="false" customHeight="true" outlineLevel="0" collapsed="false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154"/>
    </row>
    <row r="744" customFormat="false" ht="15.75" hidden="false" customHeight="true" outlineLevel="0" collapsed="false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154"/>
    </row>
    <row r="745" customFormat="false" ht="15.75" hidden="false" customHeight="true" outlineLevel="0" collapsed="false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154"/>
    </row>
    <row r="746" customFormat="false" ht="15.75" hidden="false" customHeight="true" outlineLevel="0" collapsed="false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154"/>
    </row>
    <row r="747" customFormat="false" ht="15.75" hidden="false" customHeight="true" outlineLevel="0" collapsed="false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154"/>
    </row>
    <row r="748" customFormat="false" ht="15.75" hidden="false" customHeight="true" outlineLevel="0" collapsed="false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154"/>
    </row>
    <row r="749" customFormat="false" ht="15.75" hidden="false" customHeight="true" outlineLevel="0" collapsed="false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154"/>
    </row>
    <row r="750" customFormat="false" ht="15.75" hidden="false" customHeight="true" outlineLevel="0" collapsed="false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154"/>
    </row>
    <row r="751" customFormat="false" ht="15.75" hidden="false" customHeight="true" outlineLevel="0" collapsed="false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154"/>
    </row>
    <row r="752" customFormat="false" ht="15.75" hidden="false" customHeight="true" outlineLevel="0" collapsed="false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154"/>
    </row>
    <row r="753" customFormat="false" ht="15.75" hidden="false" customHeight="true" outlineLevel="0" collapsed="false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154"/>
    </row>
    <row r="754" customFormat="false" ht="15.75" hidden="false" customHeight="true" outlineLevel="0" collapsed="false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154"/>
    </row>
    <row r="755" customFormat="false" ht="15.75" hidden="false" customHeight="true" outlineLevel="0" collapsed="false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154"/>
    </row>
    <row r="756" customFormat="false" ht="15.75" hidden="false" customHeight="true" outlineLevel="0" collapsed="false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154"/>
    </row>
    <row r="757" customFormat="false" ht="15.75" hidden="false" customHeight="true" outlineLevel="0" collapsed="false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154"/>
    </row>
    <row r="758" customFormat="false" ht="15.75" hidden="false" customHeight="true" outlineLevel="0" collapsed="false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154"/>
    </row>
    <row r="759" customFormat="false" ht="15.75" hidden="false" customHeight="true" outlineLevel="0" collapsed="false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154"/>
    </row>
    <row r="760" customFormat="false" ht="15.75" hidden="false" customHeight="true" outlineLevel="0" collapsed="false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154"/>
    </row>
    <row r="761" customFormat="false" ht="15.75" hidden="false" customHeight="true" outlineLevel="0" collapsed="false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154"/>
    </row>
    <row r="762" customFormat="false" ht="15.75" hidden="false" customHeight="true" outlineLevel="0" collapsed="false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154"/>
    </row>
    <row r="763" customFormat="false" ht="15.75" hidden="false" customHeight="true" outlineLevel="0" collapsed="false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154"/>
    </row>
    <row r="764" customFormat="false" ht="15.75" hidden="false" customHeight="true" outlineLevel="0" collapsed="false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154"/>
    </row>
    <row r="765" customFormat="false" ht="15.75" hidden="false" customHeight="true" outlineLevel="0" collapsed="false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154"/>
    </row>
    <row r="766" customFormat="false" ht="15.75" hidden="false" customHeight="true" outlineLevel="0" collapsed="false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154"/>
    </row>
    <row r="767" customFormat="false" ht="15.75" hidden="false" customHeight="true" outlineLevel="0" collapsed="false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154"/>
    </row>
    <row r="768" customFormat="false" ht="15.75" hidden="false" customHeight="true" outlineLevel="0" collapsed="false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154"/>
    </row>
    <row r="769" customFormat="false" ht="15.75" hidden="false" customHeight="true" outlineLevel="0" collapsed="false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154"/>
    </row>
    <row r="770" customFormat="false" ht="15.75" hidden="false" customHeight="true" outlineLevel="0" collapsed="false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154"/>
    </row>
    <row r="771" customFormat="false" ht="15.75" hidden="false" customHeight="true" outlineLevel="0" collapsed="false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154"/>
    </row>
    <row r="772" customFormat="false" ht="15.75" hidden="false" customHeight="true" outlineLevel="0" collapsed="false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154"/>
    </row>
    <row r="773" customFormat="false" ht="15.75" hidden="false" customHeight="true" outlineLevel="0" collapsed="false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154"/>
    </row>
    <row r="774" customFormat="false" ht="15.75" hidden="false" customHeight="true" outlineLevel="0" collapsed="false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154"/>
    </row>
    <row r="775" customFormat="false" ht="15.75" hidden="false" customHeight="true" outlineLevel="0" collapsed="false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154"/>
    </row>
    <row r="776" customFormat="false" ht="15.75" hidden="false" customHeight="true" outlineLevel="0" collapsed="false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154"/>
    </row>
    <row r="777" customFormat="false" ht="15.75" hidden="false" customHeight="true" outlineLevel="0" collapsed="false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154"/>
    </row>
    <row r="778" customFormat="false" ht="15.75" hidden="false" customHeight="true" outlineLevel="0" collapsed="false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154"/>
    </row>
    <row r="779" customFormat="false" ht="15.75" hidden="false" customHeight="true" outlineLevel="0" collapsed="false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154"/>
    </row>
    <row r="780" customFormat="false" ht="15.75" hidden="false" customHeight="true" outlineLevel="0" collapsed="false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154"/>
    </row>
    <row r="781" customFormat="false" ht="15.75" hidden="false" customHeight="true" outlineLevel="0" collapsed="false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154"/>
    </row>
    <row r="782" customFormat="false" ht="15.75" hidden="false" customHeight="true" outlineLevel="0" collapsed="false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154"/>
    </row>
    <row r="783" customFormat="false" ht="15.75" hidden="false" customHeight="true" outlineLevel="0" collapsed="false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154"/>
    </row>
    <row r="784" customFormat="false" ht="15.75" hidden="false" customHeight="true" outlineLevel="0" collapsed="false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154"/>
    </row>
    <row r="785" customFormat="false" ht="15.75" hidden="false" customHeight="true" outlineLevel="0" collapsed="false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154"/>
    </row>
    <row r="786" customFormat="false" ht="15.75" hidden="false" customHeight="true" outlineLevel="0" collapsed="false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154"/>
    </row>
    <row r="787" customFormat="false" ht="15.75" hidden="false" customHeight="true" outlineLevel="0" collapsed="false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154"/>
    </row>
    <row r="788" customFormat="false" ht="15.75" hidden="false" customHeight="true" outlineLevel="0" collapsed="false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154"/>
    </row>
    <row r="789" customFormat="false" ht="15.75" hidden="false" customHeight="true" outlineLevel="0" collapsed="false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154"/>
    </row>
    <row r="790" customFormat="false" ht="15.75" hidden="false" customHeight="true" outlineLevel="0" collapsed="false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154"/>
    </row>
    <row r="791" customFormat="false" ht="15.75" hidden="false" customHeight="true" outlineLevel="0" collapsed="false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154"/>
    </row>
    <row r="792" customFormat="false" ht="15.75" hidden="false" customHeight="true" outlineLevel="0" collapsed="false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154"/>
    </row>
    <row r="793" customFormat="false" ht="15.75" hidden="false" customHeight="true" outlineLevel="0" collapsed="false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154"/>
    </row>
    <row r="794" customFormat="false" ht="15.75" hidden="false" customHeight="true" outlineLevel="0" collapsed="false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154"/>
    </row>
    <row r="795" customFormat="false" ht="15.75" hidden="false" customHeight="true" outlineLevel="0" collapsed="false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154"/>
    </row>
    <row r="796" customFormat="false" ht="15.75" hidden="false" customHeight="true" outlineLevel="0" collapsed="false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154"/>
    </row>
    <row r="797" customFormat="false" ht="15.75" hidden="false" customHeight="true" outlineLevel="0" collapsed="false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154"/>
    </row>
    <row r="798" customFormat="false" ht="15.75" hidden="false" customHeight="true" outlineLevel="0" collapsed="false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154"/>
    </row>
    <row r="799" customFormat="false" ht="15.75" hidden="false" customHeight="true" outlineLevel="0" collapsed="false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154"/>
    </row>
    <row r="800" customFormat="false" ht="15.75" hidden="false" customHeight="true" outlineLevel="0" collapsed="false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154"/>
    </row>
    <row r="801" customFormat="false" ht="15.75" hidden="false" customHeight="true" outlineLevel="0" collapsed="false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154"/>
    </row>
    <row r="802" customFormat="false" ht="15.75" hidden="false" customHeight="true" outlineLevel="0" collapsed="false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154"/>
    </row>
    <row r="803" customFormat="false" ht="15.75" hidden="false" customHeight="true" outlineLevel="0" collapsed="false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154"/>
    </row>
    <row r="804" customFormat="false" ht="15.75" hidden="false" customHeight="true" outlineLevel="0" collapsed="false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154"/>
    </row>
    <row r="805" customFormat="false" ht="15.75" hidden="false" customHeight="true" outlineLevel="0" collapsed="false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154"/>
    </row>
    <row r="806" customFormat="false" ht="15.75" hidden="false" customHeight="true" outlineLevel="0" collapsed="false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154"/>
    </row>
    <row r="807" customFormat="false" ht="15.75" hidden="false" customHeight="true" outlineLevel="0" collapsed="false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154"/>
    </row>
    <row r="808" customFormat="false" ht="15.75" hidden="false" customHeight="true" outlineLevel="0" collapsed="false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154"/>
    </row>
    <row r="809" customFormat="false" ht="15.75" hidden="false" customHeight="true" outlineLevel="0" collapsed="false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154"/>
    </row>
    <row r="810" customFormat="false" ht="15.75" hidden="false" customHeight="true" outlineLevel="0" collapsed="false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154"/>
    </row>
    <row r="811" customFormat="false" ht="15.75" hidden="false" customHeight="true" outlineLevel="0" collapsed="false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154"/>
    </row>
    <row r="812" customFormat="false" ht="15.75" hidden="false" customHeight="true" outlineLevel="0" collapsed="false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154"/>
    </row>
    <row r="813" customFormat="false" ht="15.75" hidden="false" customHeight="true" outlineLevel="0" collapsed="false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154"/>
    </row>
    <row r="814" customFormat="false" ht="15.75" hidden="false" customHeight="true" outlineLevel="0" collapsed="false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154"/>
    </row>
    <row r="815" customFormat="false" ht="15.75" hidden="false" customHeight="true" outlineLevel="0" collapsed="false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154"/>
    </row>
    <row r="816" customFormat="false" ht="15.75" hidden="false" customHeight="true" outlineLevel="0" collapsed="false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154"/>
    </row>
    <row r="817" customFormat="false" ht="15.75" hidden="false" customHeight="true" outlineLevel="0" collapsed="false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154"/>
    </row>
    <row r="818" customFormat="false" ht="15.75" hidden="false" customHeight="true" outlineLevel="0" collapsed="false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154"/>
    </row>
    <row r="819" customFormat="false" ht="15.75" hidden="false" customHeight="true" outlineLevel="0" collapsed="false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154"/>
    </row>
    <row r="820" customFormat="false" ht="15.75" hidden="false" customHeight="true" outlineLevel="0" collapsed="false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154"/>
    </row>
    <row r="821" customFormat="false" ht="15.75" hidden="false" customHeight="true" outlineLevel="0" collapsed="false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154"/>
    </row>
    <row r="822" customFormat="false" ht="15.75" hidden="false" customHeight="true" outlineLevel="0" collapsed="false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154"/>
    </row>
    <row r="823" customFormat="false" ht="15.75" hidden="false" customHeight="true" outlineLevel="0" collapsed="false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154"/>
    </row>
    <row r="824" customFormat="false" ht="15.75" hidden="false" customHeight="true" outlineLevel="0" collapsed="false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154"/>
    </row>
    <row r="825" customFormat="false" ht="15.75" hidden="false" customHeight="true" outlineLevel="0" collapsed="false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154"/>
    </row>
    <row r="826" customFormat="false" ht="15.75" hidden="false" customHeight="true" outlineLevel="0" collapsed="false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154"/>
    </row>
    <row r="827" customFormat="false" ht="15.75" hidden="false" customHeight="true" outlineLevel="0" collapsed="false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154"/>
    </row>
    <row r="828" customFormat="false" ht="15.75" hidden="false" customHeight="true" outlineLevel="0" collapsed="false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154"/>
    </row>
    <row r="829" customFormat="false" ht="15.75" hidden="false" customHeight="true" outlineLevel="0" collapsed="false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154"/>
    </row>
    <row r="830" customFormat="false" ht="15.75" hidden="false" customHeight="true" outlineLevel="0" collapsed="false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154"/>
    </row>
    <row r="831" customFormat="false" ht="15.75" hidden="false" customHeight="true" outlineLevel="0" collapsed="false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154"/>
    </row>
    <row r="832" customFormat="false" ht="15.75" hidden="false" customHeight="true" outlineLevel="0" collapsed="false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154"/>
    </row>
    <row r="833" customFormat="false" ht="15.75" hidden="false" customHeight="true" outlineLevel="0" collapsed="false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154"/>
    </row>
    <row r="834" customFormat="false" ht="15.75" hidden="false" customHeight="true" outlineLevel="0" collapsed="false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154"/>
    </row>
    <row r="835" customFormat="false" ht="15.75" hidden="false" customHeight="true" outlineLevel="0" collapsed="false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154"/>
    </row>
    <row r="836" customFormat="false" ht="15.75" hidden="false" customHeight="true" outlineLevel="0" collapsed="false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154"/>
    </row>
    <row r="837" customFormat="false" ht="15.75" hidden="false" customHeight="true" outlineLevel="0" collapsed="false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154"/>
    </row>
    <row r="838" customFormat="false" ht="15.75" hidden="false" customHeight="true" outlineLevel="0" collapsed="false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154"/>
    </row>
    <row r="839" customFormat="false" ht="15.75" hidden="false" customHeight="true" outlineLevel="0" collapsed="false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154"/>
    </row>
    <row r="840" customFormat="false" ht="15.75" hidden="false" customHeight="true" outlineLevel="0" collapsed="false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154"/>
    </row>
    <row r="841" customFormat="false" ht="15.75" hidden="false" customHeight="true" outlineLevel="0" collapsed="false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154"/>
    </row>
    <row r="842" customFormat="false" ht="15.75" hidden="false" customHeight="true" outlineLevel="0" collapsed="false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154"/>
    </row>
    <row r="843" customFormat="false" ht="15.75" hidden="false" customHeight="true" outlineLevel="0" collapsed="false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154"/>
    </row>
    <row r="844" customFormat="false" ht="15.75" hidden="false" customHeight="true" outlineLevel="0" collapsed="false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154"/>
    </row>
    <row r="845" customFormat="false" ht="15.75" hidden="false" customHeight="true" outlineLevel="0" collapsed="false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154"/>
    </row>
    <row r="846" customFormat="false" ht="15.75" hidden="false" customHeight="true" outlineLevel="0" collapsed="false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154"/>
    </row>
    <row r="847" customFormat="false" ht="15.75" hidden="false" customHeight="true" outlineLevel="0" collapsed="false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154"/>
    </row>
    <row r="848" customFormat="false" ht="15.75" hidden="false" customHeight="true" outlineLevel="0" collapsed="false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154"/>
    </row>
    <row r="849" customFormat="false" ht="15.75" hidden="false" customHeight="true" outlineLevel="0" collapsed="false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154"/>
    </row>
    <row r="850" customFormat="false" ht="15.75" hidden="false" customHeight="true" outlineLevel="0" collapsed="false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154"/>
    </row>
    <row r="851" customFormat="false" ht="15.75" hidden="false" customHeight="true" outlineLevel="0" collapsed="false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154"/>
    </row>
    <row r="852" customFormat="false" ht="15.75" hidden="false" customHeight="true" outlineLevel="0" collapsed="false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154"/>
    </row>
    <row r="853" customFormat="false" ht="15.75" hidden="false" customHeight="true" outlineLevel="0" collapsed="false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154"/>
    </row>
    <row r="854" customFormat="false" ht="15.75" hidden="false" customHeight="true" outlineLevel="0" collapsed="false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154"/>
    </row>
    <row r="855" customFormat="false" ht="15.75" hidden="false" customHeight="true" outlineLevel="0" collapsed="false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154"/>
    </row>
    <row r="856" customFormat="false" ht="15.75" hidden="false" customHeight="true" outlineLevel="0" collapsed="false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154"/>
    </row>
    <row r="857" customFormat="false" ht="15.75" hidden="false" customHeight="true" outlineLevel="0" collapsed="false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154"/>
    </row>
    <row r="858" customFormat="false" ht="15.75" hidden="false" customHeight="true" outlineLevel="0" collapsed="false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154"/>
    </row>
    <row r="859" customFormat="false" ht="15.75" hidden="false" customHeight="true" outlineLevel="0" collapsed="false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154"/>
    </row>
    <row r="860" customFormat="false" ht="15.75" hidden="false" customHeight="true" outlineLevel="0" collapsed="false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154"/>
    </row>
    <row r="861" customFormat="false" ht="15.75" hidden="false" customHeight="true" outlineLevel="0" collapsed="false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154"/>
    </row>
    <row r="862" customFormat="false" ht="15.75" hidden="false" customHeight="true" outlineLevel="0" collapsed="false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154"/>
    </row>
    <row r="863" customFormat="false" ht="15.75" hidden="false" customHeight="true" outlineLevel="0" collapsed="false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154"/>
    </row>
    <row r="864" customFormat="false" ht="15.75" hidden="false" customHeight="true" outlineLevel="0" collapsed="false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154"/>
    </row>
    <row r="865" customFormat="false" ht="15.75" hidden="false" customHeight="true" outlineLevel="0" collapsed="false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154"/>
    </row>
    <row r="866" customFormat="false" ht="15.75" hidden="false" customHeight="true" outlineLevel="0" collapsed="false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154"/>
    </row>
    <row r="867" customFormat="false" ht="15.75" hidden="false" customHeight="true" outlineLevel="0" collapsed="false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154"/>
    </row>
    <row r="868" customFormat="false" ht="15.75" hidden="false" customHeight="true" outlineLevel="0" collapsed="false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154"/>
    </row>
    <row r="869" customFormat="false" ht="15.75" hidden="false" customHeight="true" outlineLevel="0" collapsed="false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154"/>
    </row>
    <row r="870" customFormat="false" ht="15.75" hidden="false" customHeight="true" outlineLevel="0" collapsed="false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154"/>
    </row>
    <row r="871" customFormat="false" ht="15.75" hidden="false" customHeight="true" outlineLevel="0" collapsed="false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154"/>
    </row>
    <row r="872" customFormat="false" ht="15.75" hidden="false" customHeight="true" outlineLevel="0" collapsed="false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154"/>
    </row>
    <row r="873" customFormat="false" ht="15.75" hidden="false" customHeight="true" outlineLevel="0" collapsed="false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154"/>
    </row>
    <row r="874" customFormat="false" ht="15.75" hidden="false" customHeight="true" outlineLevel="0" collapsed="false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154"/>
    </row>
    <row r="875" customFormat="false" ht="15.75" hidden="false" customHeight="true" outlineLevel="0" collapsed="false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154"/>
    </row>
    <row r="876" customFormat="false" ht="15.75" hidden="false" customHeight="true" outlineLevel="0" collapsed="false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154"/>
    </row>
    <row r="877" customFormat="false" ht="15.75" hidden="false" customHeight="true" outlineLevel="0" collapsed="false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154"/>
    </row>
    <row r="878" customFormat="false" ht="15.75" hidden="false" customHeight="true" outlineLevel="0" collapsed="false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154"/>
    </row>
    <row r="879" customFormat="false" ht="15.75" hidden="false" customHeight="true" outlineLevel="0" collapsed="false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154"/>
    </row>
    <row r="880" customFormat="false" ht="15.75" hidden="false" customHeight="true" outlineLevel="0" collapsed="false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154"/>
    </row>
    <row r="881" customFormat="false" ht="15.75" hidden="false" customHeight="true" outlineLevel="0" collapsed="false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154"/>
    </row>
    <row r="882" customFormat="false" ht="15.75" hidden="false" customHeight="true" outlineLevel="0" collapsed="false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154"/>
    </row>
    <row r="883" customFormat="false" ht="15.75" hidden="false" customHeight="true" outlineLevel="0" collapsed="false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154"/>
    </row>
    <row r="884" customFormat="false" ht="15.75" hidden="false" customHeight="true" outlineLevel="0" collapsed="false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154"/>
    </row>
    <row r="885" customFormat="false" ht="15.75" hidden="false" customHeight="true" outlineLevel="0" collapsed="false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154"/>
    </row>
    <row r="886" customFormat="false" ht="15.75" hidden="false" customHeight="true" outlineLevel="0" collapsed="false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154"/>
    </row>
    <row r="887" customFormat="false" ht="15.75" hidden="false" customHeight="true" outlineLevel="0" collapsed="false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154"/>
    </row>
    <row r="888" customFormat="false" ht="15.75" hidden="false" customHeight="true" outlineLevel="0" collapsed="false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154"/>
    </row>
    <row r="889" customFormat="false" ht="15.75" hidden="false" customHeight="true" outlineLevel="0" collapsed="false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154"/>
    </row>
    <row r="890" customFormat="false" ht="15.75" hidden="false" customHeight="true" outlineLevel="0" collapsed="false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154"/>
    </row>
    <row r="891" customFormat="false" ht="15.75" hidden="false" customHeight="true" outlineLevel="0" collapsed="false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154"/>
    </row>
    <row r="892" customFormat="false" ht="15.75" hidden="false" customHeight="true" outlineLevel="0" collapsed="false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154"/>
    </row>
    <row r="893" customFormat="false" ht="15.75" hidden="false" customHeight="true" outlineLevel="0" collapsed="false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154"/>
    </row>
    <row r="894" customFormat="false" ht="15.75" hidden="false" customHeight="true" outlineLevel="0" collapsed="false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154"/>
    </row>
    <row r="895" customFormat="false" ht="15.75" hidden="false" customHeight="true" outlineLevel="0" collapsed="false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154"/>
    </row>
    <row r="896" customFormat="false" ht="15.75" hidden="false" customHeight="true" outlineLevel="0" collapsed="false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154"/>
    </row>
    <row r="897" customFormat="false" ht="15.75" hidden="false" customHeight="true" outlineLevel="0" collapsed="false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154"/>
    </row>
    <row r="898" customFormat="false" ht="15.75" hidden="false" customHeight="true" outlineLevel="0" collapsed="false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154"/>
    </row>
    <row r="899" customFormat="false" ht="15.75" hidden="false" customHeight="true" outlineLevel="0" collapsed="false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154"/>
    </row>
    <row r="900" customFormat="false" ht="15.75" hidden="false" customHeight="true" outlineLevel="0" collapsed="false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154"/>
    </row>
    <row r="901" customFormat="false" ht="15.75" hidden="false" customHeight="true" outlineLevel="0" collapsed="false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154"/>
    </row>
    <row r="902" customFormat="false" ht="15.75" hidden="false" customHeight="true" outlineLevel="0" collapsed="false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154"/>
    </row>
    <row r="903" customFormat="false" ht="15.75" hidden="false" customHeight="true" outlineLevel="0" collapsed="false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154"/>
    </row>
    <row r="904" customFormat="false" ht="15.75" hidden="false" customHeight="true" outlineLevel="0" collapsed="false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154"/>
    </row>
    <row r="905" customFormat="false" ht="15.75" hidden="false" customHeight="true" outlineLevel="0" collapsed="false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154"/>
    </row>
    <row r="906" customFormat="false" ht="15.75" hidden="false" customHeight="true" outlineLevel="0" collapsed="false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154"/>
    </row>
    <row r="907" customFormat="false" ht="15.75" hidden="false" customHeight="true" outlineLevel="0" collapsed="false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154"/>
    </row>
    <row r="908" customFormat="false" ht="15.75" hidden="false" customHeight="true" outlineLevel="0" collapsed="false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154"/>
    </row>
    <row r="909" customFormat="false" ht="15.75" hidden="false" customHeight="true" outlineLevel="0" collapsed="false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154"/>
    </row>
    <row r="910" customFormat="false" ht="15.75" hidden="false" customHeight="true" outlineLevel="0" collapsed="false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154"/>
    </row>
    <row r="911" customFormat="false" ht="15.75" hidden="false" customHeight="true" outlineLevel="0" collapsed="false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154"/>
    </row>
    <row r="912" customFormat="false" ht="15.75" hidden="false" customHeight="true" outlineLevel="0" collapsed="false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154"/>
    </row>
    <row r="913" customFormat="false" ht="15.75" hidden="false" customHeight="true" outlineLevel="0" collapsed="false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154"/>
    </row>
    <row r="914" customFormat="false" ht="15.75" hidden="false" customHeight="true" outlineLevel="0" collapsed="false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154"/>
    </row>
    <row r="915" customFormat="false" ht="15.75" hidden="false" customHeight="true" outlineLevel="0" collapsed="false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154"/>
    </row>
    <row r="916" customFormat="false" ht="15.75" hidden="false" customHeight="true" outlineLevel="0" collapsed="false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154"/>
    </row>
    <row r="917" customFormat="false" ht="15.75" hidden="false" customHeight="true" outlineLevel="0" collapsed="false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154"/>
    </row>
    <row r="918" customFormat="false" ht="15.75" hidden="false" customHeight="true" outlineLevel="0" collapsed="false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154"/>
    </row>
    <row r="919" customFormat="false" ht="15.75" hidden="false" customHeight="true" outlineLevel="0" collapsed="false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154"/>
    </row>
    <row r="920" customFormat="false" ht="15.75" hidden="false" customHeight="true" outlineLevel="0" collapsed="false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154"/>
    </row>
    <row r="921" customFormat="false" ht="15.75" hidden="false" customHeight="true" outlineLevel="0" collapsed="false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154"/>
    </row>
    <row r="922" customFormat="false" ht="15.75" hidden="false" customHeight="true" outlineLevel="0" collapsed="false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154"/>
    </row>
    <row r="923" customFormat="false" ht="15.75" hidden="false" customHeight="true" outlineLevel="0" collapsed="false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154"/>
    </row>
    <row r="924" customFormat="false" ht="15.75" hidden="false" customHeight="true" outlineLevel="0" collapsed="false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154"/>
    </row>
    <row r="925" customFormat="false" ht="15.75" hidden="false" customHeight="true" outlineLevel="0" collapsed="false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154"/>
    </row>
    <row r="926" customFormat="false" ht="15.75" hidden="false" customHeight="true" outlineLevel="0" collapsed="false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154"/>
    </row>
    <row r="927" customFormat="false" ht="15.75" hidden="false" customHeight="true" outlineLevel="0" collapsed="false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154"/>
    </row>
    <row r="928" customFormat="false" ht="15.75" hidden="false" customHeight="true" outlineLevel="0" collapsed="false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154"/>
    </row>
    <row r="929" customFormat="false" ht="15.75" hidden="false" customHeight="true" outlineLevel="0" collapsed="false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154"/>
    </row>
    <row r="930" customFormat="false" ht="15.75" hidden="false" customHeight="true" outlineLevel="0" collapsed="false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154"/>
    </row>
    <row r="931" customFormat="false" ht="15.75" hidden="false" customHeight="true" outlineLevel="0" collapsed="false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154"/>
    </row>
    <row r="932" customFormat="false" ht="15.75" hidden="false" customHeight="true" outlineLevel="0" collapsed="false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154"/>
    </row>
    <row r="933" customFormat="false" ht="15.75" hidden="false" customHeight="true" outlineLevel="0" collapsed="false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154"/>
    </row>
    <row r="934" customFormat="false" ht="15.75" hidden="false" customHeight="true" outlineLevel="0" collapsed="false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154"/>
    </row>
    <row r="935" customFormat="false" ht="15.75" hidden="false" customHeight="true" outlineLevel="0" collapsed="false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154"/>
    </row>
    <row r="936" customFormat="false" ht="15.75" hidden="false" customHeight="true" outlineLevel="0" collapsed="false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154"/>
    </row>
    <row r="937" customFormat="false" ht="15.75" hidden="false" customHeight="true" outlineLevel="0" collapsed="false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154"/>
    </row>
    <row r="938" customFormat="false" ht="15.75" hidden="false" customHeight="true" outlineLevel="0" collapsed="false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154"/>
    </row>
    <row r="939" customFormat="false" ht="15.75" hidden="false" customHeight="true" outlineLevel="0" collapsed="false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154"/>
    </row>
    <row r="940" customFormat="false" ht="15.75" hidden="false" customHeight="true" outlineLevel="0" collapsed="false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154"/>
    </row>
    <row r="941" customFormat="false" ht="15.75" hidden="false" customHeight="true" outlineLevel="0" collapsed="false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154"/>
    </row>
    <row r="942" customFormat="false" ht="15.75" hidden="false" customHeight="true" outlineLevel="0" collapsed="false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154"/>
    </row>
    <row r="943" customFormat="false" ht="15.75" hidden="false" customHeight="true" outlineLevel="0" collapsed="false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154"/>
    </row>
    <row r="944" customFormat="false" ht="15.75" hidden="false" customHeight="true" outlineLevel="0" collapsed="false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154"/>
    </row>
    <row r="945" customFormat="false" ht="15.75" hidden="false" customHeight="true" outlineLevel="0" collapsed="false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154"/>
    </row>
    <row r="946" customFormat="false" ht="15.75" hidden="false" customHeight="true" outlineLevel="0" collapsed="false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154"/>
    </row>
    <row r="947" customFormat="false" ht="15.75" hidden="false" customHeight="true" outlineLevel="0" collapsed="false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154"/>
    </row>
    <row r="948" customFormat="false" ht="15.75" hidden="false" customHeight="true" outlineLevel="0" collapsed="false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154"/>
    </row>
    <row r="949" customFormat="false" ht="15.75" hidden="false" customHeight="true" outlineLevel="0" collapsed="false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154"/>
    </row>
    <row r="950" customFormat="false" ht="15.75" hidden="false" customHeight="true" outlineLevel="0" collapsed="false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154"/>
    </row>
    <row r="951" customFormat="false" ht="15.75" hidden="false" customHeight="true" outlineLevel="0" collapsed="false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154"/>
    </row>
    <row r="952" customFormat="false" ht="15.75" hidden="false" customHeight="true" outlineLevel="0" collapsed="false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154"/>
    </row>
    <row r="953" customFormat="false" ht="15.75" hidden="false" customHeight="true" outlineLevel="0" collapsed="false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154"/>
    </row>
    <row r="954" customFormat="false" ht="15.75" hidden="false" customHeight="true" outlineLevel="0" collapsed="false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154"/>
    </row>
    <row r="955" customFormat="false" ht="15.75" hidden="false" customHeight="true" outlineLevel="0" collapsed="false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154"/>
    </row>
    <row r="956" customFormat="false" ht="15.75" hidden="false" customHeight="true" outlineLevel="0" collapsed="false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154"/>
    </row>
    <row r="957" customFormat="false" ht="15.75" hidden="false" customHeight="true" outlineLevel="0" collapsed="false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154"/>
    </row>
    <row r="958" customFormat="false" ht="15.75" hidden="false" customHeight="true" outlineLevel="0" collapsed="false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154"/>
    </row>
    <row r="959" customFormat="false" ht="15.75" hidden="false" customHeight="true" outlineLevel="0" collapsed="false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154"/>
    </row>
    <row r="960" customFormat="false" ht="15.75" hidden="false" customHeight="true" outlineLevel="0" collapsed="false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154"/>
    </row>
    <row r="961" customFormat="false" ht="15.75" hidden="false" customHeight="true" outlineLevel="0" collapsed="false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154"/>
    </row>
    <row r="962" customFormat="false" ht="15.75" hidden="false" customHeight="true" outlineLevel="0" collapsed="false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154"/>
    </row>
    <row r="963" customFormat="false" ht="15.75" hidden="false" customHeight="true" outlineLevel="0" collapsed="false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154"/>
    </row>
    <row r="964" customFormat="false" ht="15.75" hidden="false" customHeight="true" outlineLevel="0" collapsed="false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154"/>
    </row>
    <row r="965" customFormat="false" ht="15.75" hidden="false" customHeight="true" outlineLevel="0" collapsed="false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154"/>
    </row>
    <row r="966" customFormat="false" ht="15.75" hidden="false" customHeight="true" outlineLevel="0" collapsed="false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154"/>
    </row>
    <row r="967" customFormat="false" ht="15.75" hidden="false" customHeight="true" outlineLevel="0" collapsed="false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154"/>
    </row>
    <row r="968" customFormat="false" ht="15.75" hidden="false" customHeight="true" outlineLevel="0" collapsed="false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154"/>
    </row>
    <row r="969" customFormat="false" ht="15.75" hidden="false" customHeight="true" outlineLevel="0" collapsed="false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154"/>
    </row>
    <row r="970" customFormat="false" ht="15.75" hidden="false" customHeight="true" outlineLevel="0" collapsed="false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154"/>
    </row>
    <row r="971" customFormat="false" ht="15.75" hidden="false" customHeight="true" outlineLevel="0" collapsed="false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154"/>
    </row>
    <row r="972" customFormat="false" ht="15.75" hidden="false" customHeight="true" outlineLevel="0" collapsed="false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154"/>
    </row>
    <row r="973" customFormat="false" ht="15.75" hidden="false" customHeight="true" outlineLevel="0" collapsed="false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154"/>
    </row>
    <row r="974" customFormat="false" ht="15.75" hidden="false" customHeight="true" outlineLevel="0" collapsed="false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154"/>
    </row>
    <row r="975" customFormat="false" ht="15.75" hidden="false" customHeight="true" outlineLevel="0" collapsed="false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154"/>
    </row>
    <row r="976" customFormat="false" ht="15.75" hidden="false" customHeight="true" outlineLevel="0" collapsed="false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154"/>
    </row>
    <row r="977" customFormat="false" ht="15.75" hidden="false" customHeight="true" outlineLevel="0" collapsed="false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154"/>
    </row>
    <row r="978" customFormat="false" ht="15.75" hidden="false" customHeight="true" outlineLevel="0" collapsed="false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154"/>
    </row>
    <row r="979" customFormat="false" ht="15.75" hidden="false" customHeight="true" outlineLevel="0" collapsed="false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154"/>
    </row>
    <row r="980" customFormat="false" ht="15.75" hidden="false" customHeight="true" outlineLevel="0" collapsed="false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154"/>
    </row>
    <row r="981" customFormat="false" ht="15.75" hidden="false" customHeight="true" outlineLevel="0" collapsed="false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154"/>
    </row>
    <row r="982" customFormat="false" ht="15.75" hidden="false" customHeight="true" outlineLevel="0" collapsed="false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154"/>
    </row>
    <row r="983" customFormat="false" ht="15.75" hidden="false" customHeight="true" outlineLevel="0" collapsed="false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154"/>
    </row>
    <row r="984" customFormat="false" ht="15.75" hidden="false" customHeight="true" outlineLevel="0" collapsed="false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154"/>
    </row>
    <row r="985" customFormat="false" ht="15.75" hidden="false" customHeight="true" outlineLevel="0" collapsed="false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154"/>
    </row>
    <row r="986" customFormat="false" ht="15.75" hidden="false" customHeight="true" outlineLevel="0" collapsed="false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154"/>
    </row>
    <row r="987" customFormat="false" ht="15.75" hidden="false" customHeight="true" outlineLevel="0" collapsed="false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154"/>
    </row>
    <row r="988" customFormat="false" ht="15.75" hidden="false" customHeight="true" outlineLevel="0" collapsed="false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154"/>
    </row>
    <row r="989" customFormat="false" ht="15.75" hidden="false" customHeight="true" outlineLevel="0" collapsed="false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154"/>
    </row>
    <row r="990" customFormat="false" ht="15.75" hidden="false" customHeight="true" outlineLevel="0" collapsed="false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154"/>
    </row>
    <row r="991" customFormat="false" ht="15.75" hidden="false" customHeight="true" outlineLevel="0" collapsed="false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154"/>
    </row>
    <row r="992" customFormat="false" ht="15.75" hidden="false" customHeight="true" outlineLevel="0" collapsed="false">
      <c r="A992" s="27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154"/>
    </row>
    <row r="993" customFormat="false" ht="15.75" hidden="false" customHeight="true" outlineLevel="0" collapsed="false">
      <c r="A993" s="27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154"/>
    </row>
    <row r="994" customFormat="false" ht="15.75" hidden="false" customHeight="true" outlineLevel="0" collapsed="false">
      <c r="A994" s="27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154"/>
    </row>
    <row r="995" customFormat="false" ht="15.75" hidden="false" customHeight="true" outlineLevel="0" collapsed="false">
      <c r="A995" s="27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154"/>
    </row>
    <row r="996" customFormat="false" ht="15.75" hidden="false" customHeight="true" outlineLevel="0" collapsed="false">
      <c r="A996" s="27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154"/>
    </row>
    <row r="997" customFormat="false" ht="15.75" hidden="false" customHeight="true" outlineLevel="0" collapsed="false">
      <c r="A997" s="27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154"/>
    </row>
    <row r="998" customFormat="false" ht="15.75" hidden="false" customHeight="true" outlineLevel="0" collapsed="false">
      <c r="A998" s="27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154"/>
    </row>
    <row r="999" customFormat="false" ht="15.75" hidden="false" customHeight="true" outlineLevel="0" collapsed="false">
      <c r="A999" s="27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154"/>
    </row>
    <row r="1000" customFormat="false" ht="15.75" hidden="false" customHeight="true" outlineLevel="0" collapsed="false">
      <c r="A1000" s="27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154"/>
    </row>
    <row r="1001" customFormat="false" ht="15.75" hidden="false" customHeight="true" outlineLevel="0" collapsed="false">
      <c r="A1001" s="27"/>
      <c r="B1001" s="27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154"/>
    </row>
    <row r="1002" customFormat="false" ht="15.75" hidden="false" customHeight="true" outlineLevel="0" collapsed="false">
      <c r="A1002" s="27"/>
      <c r="B1002" s="27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154"/>
    </row>
    <row r="1003" customFormat="false" ht="15.75" hidden="false" customHeight="true" outlineLevel="0" collapsed="false">
      <c r="A1003" s="27"/>
      <c r="B1003" s="27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154"/>
    </row>
    <row r="1004" customFormat="false" ht="15.75" hidden="false" customHeight="true" outlineLevel="0" collapsed="false">
      <c r="A1004" s="27"/>
      <c r="B1004" s="27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154"/>
    </row>
    <row r="1005" customFormat="false" ht="15.75" hidden="false" customHeight="true" outlineLevel="0" collapsed="false">
      <c r="A1005" s="27"/>
      <c r="B1005" s="27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154"/>
    </row>
    <row r="1006" customFormat="false" ht="15.75" hidden="false" customHeight="true" outlineLevel="0" collapsed="false">
      <c r="A1006" s="27"/>
      <c r="B1006" s="27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  <c r="O1006" s="154"/>
    </row>
    <row r="1007" customFormat="false" ht="15.75" hidden="false" customHeight="true" outlineLevel="0" collapsed="false">
      <c r="A1007" s="27"/>
      <c r="B1007" s="27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154"/>
    </row>
    <row r="1008" customFormat="false" ht="15.75" hidden="false" customHeight="true" outlineLevel="0" collapsed="false">
      <c r="A1008" s="27"/>
      <c r="B1008" s="27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154"/>
    </row>
    <row r="1009" customFormat="false" ht="15.75" hidden="false" customHeight="true" outlineLevel="0" collapsed="false">
      <c r="A1009" s="27"/>
      <c r="B1009" s="27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154"/>
    </row>
    <row r="1010" customFormat="false" ht="15.75" hidden="false" customHeight="true" outlineLevel="0" collapsed="false">
      <c r="A1010" s="27"/>
      <c r="B1010" s="27"/>
      <c r="C1010" s="27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154"/>
    </row>
    <row r="1011" customFormat="false" ht="15.75" hidden="false" customHeight="true" outlineLevel="0" collapsed="false">
      <c r="A1011" s="27"/>
      <c r="B1011" s="27"/>
      <c r="C1011" s="27"/>
      <c r="D1011" s="27"/>
      <c r="E1011" s="27"/>
      <c r="F1011" s="27"/>
      <c r="G1011" s="27"/>
      <c r="H1011" s="27"/>
      <c r="I1011" s="27"/>
      <c r="J1011" s="27"/>
      <c r="K1011" s="27"/>
      <c r="L1011" s="27"/>
      <c r="M1011" s="27"/>
      <c r="N1011" s="27"/>
      <c r="O1011" s="154"/>
    </row>
    <row r="1012" customFormat="false" ht="15.75" hidden="false" customHeight="true" outlineLevel="0" collapsed="false">
      <c r="A1012" s="27"/>
      <c r="B1012" s="27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  <c r="M1012" s="27"/>
      <c r="N1012" s="27"/>
      <c r="O1012" s="154"/>
    </row>
    <row r="1013" customFormat="false" ht="15.75" hidden="false" customHeight="true" outlineLevel="0" collapsed="false">
      <c r="A1013" s="27"/>
      <c r="B1013" s="27"/>
      <c r="C1013" s="27"/>
      <c r="D1013" s="27"/>
      <c r="E1013" s="27"/>
      <c r="F1013" s="27"/>
      <c r="G1013" s="27"/>
      <c r="H1013" s="27"/>
      <c r="I1013" s="27"/>
      <c r="J1013" s="27"/>
      <c r="K1013" s="27"/>
      <c r="L1013" s="27"/>
      <c r="M1013" s="27"/>
      <c r="N1013" s="27"/>
      <c r="O1013" s="154"/>
    </row>
    <row r="1014" customFormat="false" ht="15.75" hidden="false" customHeight="true" outlineLevel="0" collapsed="false">
      <c r="A1014" s="27"/>
      <c r="B1014" s="27"/>
      <c r="C1014" s="27"/>
      <c r="D1014" s="27"/>
      <c r="E1014" s="27"/>
      <c r="F1014" s="27"/>
      <c r="G1014" s="27"/>
      <c r="H1014" s="27"/>
      <c r="I1014" s="27"/>
      <c r="J1014" s="27"/>
      <c r="K1014" s="27"/>
      <c r="L1014" s="27"/>
      <c r="M1014" s="27"/>
      <c r="N1014" s="27"/>
      <c r="O1014" s="154"/>
    </row>
    <row r="1015" customFormat="false" ht="15.75" hidden="false" customHeight="true" outlineLevel="0" collapsed="false">
      <c r="A1015" s="27"/>
      <c r="B1015" s="27"/>
      <c r="C1015" s="27"/>
      <c r="D1015" s="27"/>
      <c r="E1015" s="27"/>
      <c r="F1015" s="27"/>
      <c r="G1015" s="27"/>
      <c r="H1015" s="27"/>
      <c r="I1015" s="27"/>
      <c r="J1015" s="27"/>
      <c r="K1015" s="27"/>
      <c r="L1015" s="27"/>
      <c r="M1015" s="27"/>
      <c r="N1015" s="27"/>
      <c r="O1015" s="154"/>
    </row>
    <row r="1016" customFormat="false" ht="15.75" hidden="false" customHeight="true" outlineLevel="0" collapsed="false">
      <c r="A1016" s="27"/>
      <c r="B1016" s="27"/>
      <c r="C1016" s="27"/>
      <c r="D1016" s="27"/>
      <c r="E1016" s="27"/>
      <c r="F1016" s="27"/>
      <c r="G1016" s="27"/>
      <c r="H1016" s="27"/>
      <c r="I1016" s="27"/>
      <c r="J1016" s="27"/>
      <c r="K1016" s="27"/>
      <c r="L1016" s="27"/>
      <c r="M1016" s="27"/>
      <c r="N1016" s="27"/>
      <c r="O1016" s="154"/>
    </row>
    <row r="1017" customFormat="false" ht="15.75" hidden="false" customHeight="true" outlineLevel="0" collapsed="false">
      <c r="A1017" s="27"/>
      <c r="B1017" s="27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  <c r="M1017" s="27"/>
      <c r="N1017" s="27"/>
      <c r="O1017" s="154"/>
    </row>
    <row r="1018" customFormat="false" ht="15.75" hidden="false" customHeight="true" outlineLevel="0" collapsed="false">
      <c r="A1018" s="27"/>
      <c r="B1018" s="27"/>
      <c r="C1018" s="27"/>
      <c r="D1018" s="27"/>
      <c r="E1018" s="27"/>
      <c r="F1018" s="27"/>
      <c r="G1018" s="27"/>
      <c r="H1018" s="27"/>
      <c r="I1018" s="27"/>
      <c r="J1018" s="27"/>
      <c r="K1018" s="27"/>
      <c r="L1018" s="27"/>
      <c r="M1018" s="27"/>
      <c r="N1018" s="27"/>
      <c r="O1018" s="154"/>
    </row>
    <row r="1019" customFormat="false" ht="15.75" hidden="false" customHeight="true" outlineLevel="0" collapsed="false">
      <c r="A1019" s="27"/>
      <c r="B1019" s="27"/>
      <c r="C1019" s="27"/>
      <c r="D1019" s="27"/>
      <c r="E1019" s="27"/>
      <c r="F1019" s="27"/>
      <c r="G1019" s="27"/>
      <c r="H1019" s="27"/>
      <c r="I1019" s="27"/>
      <c r="J1019" s="27"/>
      <c r="K1019" s="27"/>
      <c r="L1019" s="27"/>
      <c r="M1019" s="27"/>
      <c r="N1019" s="27"/>
      <c r="O1019" s="154"/>
    </row>
    <row r="1020" customFormat="false" ht="15.75" hidden="false" customHeight="true" outlineLevel="0" collapsed="false">
      <c r="A1020" s="27"/>
      <c r="B1020" s="27"/>
      <c r="C1020" s="27"/>
      <c r="D1020" s="27"/>
      <c r="E1020" s="27"/>
      <c r="F1020" s="27"/>
      <c r="G1020" s="27"/>
      <c r="H1020" s="27"/>
      <c r="I1020" s="27"/>
      <c r="J1020" s="27"/>
      <c r="K1020" s="27"/>
      <c r="L1020" s="27"/>
      <c r="M1020" s="27"/>
      <c r="N1020" s="27"/>
      <c r="O1020" s="154"/>
    </row>
    <row r="1021" customFormat="false" ht="15.75" hidden="false" customHeight="true" outlineLevel="0" collapsed="false">
      <c r="A1021" s="27"/>
      <c r="B1021" s="27"/>
      <c r="C1021" s="27"/>
      <c r="D1021" s="27"/>
      <c r="E1021" s="27"/>
      <c r="F1021" s="27"/>
      <c r="G1021" s="27"/>
      <c r="H1021" s="27"/>
      <c r="I1021" s="27"/>
      <c r="J1021" s="27"/>
      <c r="K1021" s="27"/>
      <c r="L1021" s="27"/>
      <c r="M1021" s="27"/>
      <c r="N1021" s="27"/>
      <c r="O1021" s="154"/>
    </row>
    <row r="1022" customFormat="false" ht="15.75" hidden="false" customHeight="true" outlineLevel="0" collapsed="false">
      <c r="A1022" s="27"/>
      <c r="B1022" s="27"/>
      <c r="C1022" s="27"/>
      <c r="D1022" s="27"/>
      <c r="E1022" s="27"/>
      <c r="F1022" s="27"/>
      <c r="G1022" s="27"/>
      <c r="H1022" s="27"/>
      <c r="I1022" s="27"/>
      <c r="J1022" s="27"/>
      <c r="K1022" s="27"/>
      <c r="L1022" s="27"/>
      <c r="M1022" s="27"/>
      <c r="N1022" s="27"/>
      <c r="O1022" s="154"/>
    </row>
    <row r="1023" customFormat="false" ht="15.75" hidden="false" customHeight="true" outlineLevel="0" collapsed="false">
      <c r="A1023" s="27"/>
      <c r="B1023" s="27"/>
      <c r="C1023" s="27"/>
      <c r="D1023" s="27"/>
      <c r="E1023" s="27"/>
      <c r="F1023" s="27"/>
      <c r="G1023" s="27"/>
      <c r="H1023" s="27"/>
      <c r="I1023" s="27"/>
      <c r="J1023" s="27"/>
      <c r="K1023" s="27"/>
      <c r="L1023" s="27"/>
      <c r="M1023" s="27"/>
      <c r="N1023" s="27"/>
      <c r="O1023" s="154"/>
    </row>
    <row r="1024" customFormat="false" ht="15.75" hidden="false" customHeight="true" outlineLevel="0" collapsed="false">
      <c r="A1024" s="27"/>
      <c r="B1024" s="27"/>
      <c r="C1024" s="27"/>
      <c r="D1024" s="27"/>
      <c r="E1024" s="27"/>
      <c r="F1024" s="27"/>
      <c r="G1024" s="27"/>
      <c r="H1024" s="27"/>
      <c r="I1024" s="27"/>
      <c r="J1024" s="27"/>
      <c r="K1024" s="27"/>
      <c r="L1024" s="27"/>
      <c r="M1024" s="27"/>
      <c r="N1024" s="27"/>
      <c r="O1024" s="154"/>
    </row>
    <row r="1025" customFormat="false" ht="15.75" hidden="false" customHeight="true" outlineLevel="0" collapsed="false">
      <c r="A1025" s="27"/>
      <c r="B1025" s="27"/>
      <c r="C1025" s="27"/>
      <c r="D1025" s="27"/>
      <c r="E1025" s="27"/>
      <c r="F1025" s="27"/>
      <c r="G1025" s="27"/>
      <c r="H1025" s="27"/>
      <c r="I1025" s="27"/>
      <c r="J1025" s="27"/>
      <c r="K1025" s="27"/>
      <c r="L1025" s="27"/>
      <c r="M1025" s="27"/>
      <c r="N1025" s="27"/>
      <c r="O1025" s="154"/>
    </row>
    <row r="1026" customFormat="false" ht="15.75" hidden="false" customHeight="true" outlineLevel="0" collapsed="false">
      <c r="A1026" s="27"/>
      <c r="B1026" s="27"/>
      <c r="C1026" s="27"/>
      <c r="D1026" s="27"/>
      <c r="E1026" s="27"/>
      <c r="F1026" s="27"/>
      <c r="G1026" s="27"/>
      <c r="H1026" s="27"/>
      <c r="I1026" s="27"/>
      <c r="J1026" s="27"/>
      <c r="K1026" s="27"/>
      <c r="L1026" s="27"/>
      <c r="M1026" s="27"/>
      <c r="N1026" s="27"/>
      <c r="O1026" s="154"/>
    </row>
    <row r="1027" customFormat="false" ht="15.75" hidden="false" customHeight="true" outlineLevel="0" collapsed="false">
      <c r="A1027" s="27"/>
      <c r="B1027" s="27"/>
      <c r="C1027" s="27"/>
      <c r="D1027" s="27"/>
      <c r="E1027" s="27"/>
      <c r="F1027" s="27"/>
      <c r="G1027" s="27"/>
      <c r="H1027" s="27"/>
      <c r="I1027" s="27"/>
      <c r="J1027" s="27"/>
      <c r="K1027" s="27"/>
      <c r="L1027" s="27"/>
      <c r="M1027" s="27"/>
      <c r="N1027" s="27"/>
      <c r="O1027" s="154"/>
    </row>
    <row r="1028" customFormat="false" ht="15.75" hidden="false" customHeight="true" outlineLevel="0" collapsed="false">
      <c r="A1028" s="27"/>
      <c r="B1028" s="27"/>
      <c r="C1028" s="27"/>
      <c r="D1028" s="27"/>
      <c r="E1028" s="27"/>
      <c r="F1028" s="27"/>
      <c r="G1028" s="27"/>
      <c r="H1028" s="27"/>
      <c r="I1028" s="27"/>
      <c r="J1028" s="27"/>
      <c r="K1028" s="27"/>
      <c r="L1028" s="27"/>
      <c r="M1028" s="27"/>
      <c r="N1028" s="27"/>
      <c r="O1028" s="154"/>
    </row>
    <row r="1029" customFormat="false" ht="15.75" hidden="false" customHeight="true" outlineLevel="0" collapsed="false">
      <c r="A1029" s="27"/>
      <c r="B1029" s="27"/>
      <c r="C1029" s="27"/>
      <c r="D1029" s="27"/>
      <c r="E1029" s="27"/>
      <c r="F1029" s="27"/>
      <c r="G1029" s="27"/>
      <c r="H1029" s="27"/>
      <c r="I1029" s="27"/>
      <c r="J1029" s="27"/>
      <c r="K1029" s="27"/>
      <c r="L1029" s="27"/>
      <c r="M1029" s="27"/>
      <c r="N1029" s="27"/>
      <c r="O1029" s="154"/>
    </row>
    <row r="1030" customFormat="false" ht="15.75" hidden="false" customHeight="true" outlineLevel="0" collapsed="false">
      <c r="A1030" s="27"/>
      <c r="B1030" s="27"/>
      <c r="C1030" s="27"/>
      <c r="D1030" s="27"/>
      <c r="E1030" s="27"/>
      <c r="F1030" s="27"/>
      <c r="G1030" s="27"/>
      <c r="H1030" s="27"/>
      <c r="I1030" s="27"/>
      <c r="J1030" s="27"/>
      <c r="K1030" s="27"/>
      <c r="L1030" s="27"/>
      <c r="M1030" s="27"/>
      <c r="N1030" s="27"/>
      <c r="O1030" s="154"/>
    </row>
    <row r="1031" customFormat="false" ht="15.75" hidden="false" customHeight="true" outlineLevel="0" collapsed="false">
      <c r="A1031" s="27"/>
      <c r="B1031" s="27"/>
      <c r="C1031" s="27"/>
      <c r="D1031" s="27"/>
      <c r="E1031" s="27"/>
      <c r="F1031" s="27"/>
      <c r="G1031" s="27"/>
      <c r="H1031" s="27"/>
      <c r="I1031" s="27"/>
      <c r="J1031" s="27"/>
      <c r="K1031" s="27"/>
      <c r="L1031" s="27"/>
      <c r="M1031" s="27"/>
      <c r="N1031" s="27"/>
      <c r="O1031" s="154"/>
    </row>
    <row r="1032" customFormat="false" ht="15.75" hidden="false" customHeight="true" outlineLevel="0" collapsed="false">
      <c r="A1032" s="27"/>
      <c r="B1032" s="27"/>
      <c r="C1032" s="27"/>
      <c r="D1032" s="27"/>
      <c r="E1032" s="27"/>
      <c r="F1032" s="27"/>
      <c r="G1032" s="27"/>
      <c r="H1032" s="27"/>
      <c r="I1032" s="27"/>
      <c r="J1032" s="27"/>
      <c r="K1032" s="27"/>
      <c r="L1032" s="27"/>
      <c r="M1032" s="27"/>
      <c r="N1032" s="27"/>
      <c r="O1032" s="154"/>
    </row>
    <row r="1033" customFormat="false" ht="15.75" hidden="false" customHeight="true" outlineLevel="0" collapsed="false">
      <c r="A1033" s="27"/>
      <c r="B1033" s="27"/>
      <c r="C1033" s="27"/>
      <c r="D1033" s="27"/>
      <c r="E1033" s="27"/>
      <c r="F1033" s="27"/>
      <c r="G1033" s="27"/>
      <c r="H1033" s="27"/>
      <c r="I1033" s="27"/>
      <c r="J1033" s="27"/>
      <c r="K1033" s="27"/>
      <c r="L1033" s="27"/>
      <c r="M1033" s="27"/>
      <c r="N1033" s="27"/>
      <c r="O1033" s="154"/>
    </row>
    <row r="1034" customFormat="false" ht="15.75" hidden="false" customHeight="true" outlineLevel="0" collapsed="false">
      <c r="A1034" s="27"/>
      <c r="B1034" s="27"/>
      <c r="C1034" s="27"/>
      <c r="D1034" s="27"/>
      <c r="E1034" s="27"/>
      <c r="F1034" s="27"/>
      <c r="G1034" s="27"/>
      <c r="H1034" s="27"/>
      <c r="I1034" s="27"/>
      <c r="J1034" s="27"/>
      <c r="K1034" s="27"/>
      <c r="L1034" s="27"/>
      <c r="M1034" s="27"/>
      <c r="N1034" s="27"/>
      <c r="O1034" s="154"/>
    </row>
    <row r="1035" customFormat="false" ht="15.75" hidden="false" customHeight="true" outlineLevel="0" collapsed="false">
      <c r="A1035" s="27"/>
      <c r="B1035" s="27"/>
      <c r="C1035" s="27"/>
      <c r="D1035" s="27"/>
      <c r="E1035" s="27"/>
      <c r="F1035" s="27"/>
      <c r="G1035" s="27"/>
      <c r="H1035" s="27"/>
      <c r="I1035" s="27"/>
      <c r="J1035" s="27"/>
      <c r="K1035" s="27"/>
      <c r="L1035" s="27"/>
      <c r="M1035" s="27"/>
      <c r="N1035" s="27"/>
      <c r="O1035" s="154"/>
    </row>
    <row r="1036" customFormat="false" ht="15.75" hidden="false" customHeight="true" outlineLevel="0" collapsed="false">
      <c r="A1036" s="27"/>
      <c r="B1036" s="27"/>
      <c r="C1036" s="27"/>
      <c r="D1036" s="27"/>
      <c r="E1036" s="27"/>
      <c r="F1036" s="27"/>
      <c r="G1036" s="27"/>
      <c r="H1036" s="27"/>
      <c r="I1036" s="27"/>
      <c r="J1036" s="27"/>
      <c r="K1036" s="27"/>
      <c r="L1036" s="27"/>
      <c r="M1036" s="27"/>
      <c r="N1036" s="27"/>
      <c r="O1036" s="154"/>
    </row>
    <row r="1037" customFormat="false" ht="15.75" hidden="false" customHeight="true" outlineLevel="0" collapsed="false">
      <c r="A1037" s="27"/>
      <c r="B1037" s="27"/>
      <c r="C1037" s="27"/>
      <c r="D1037" s="27"/>
      <c r="E1037" s="27"/>
      <c r="F1037" s="27"/>
      <c r="G1037" s="27"/>
      <c r="H1037" s="27"/>
      <c r="I1037" s="27"/>
      <c r="J1037" s="27"/>
      <c r="K1037" s="27"/>
      <c r="L1037" s="27"/>
      <c r="M1037" s="27"/>
      <c r="N1037" s="27"/>
      <c r="O1037" s="154"/>
    </row>
    <row r="1038" customFormat="false" ht="15.75" hidden="false" customHeight="true" outlineLevel="0" collapsed="false">
      <c r="A1038" s="27"/>
      <c r="B1038" s="27"/>
      <c r="C1038" s="27"/>
      <c r="D1038" s="27"/>
      <c r="E1038" s="27"/>
      <c r="F1038" s="27"/>
      <c r="G1038" s="27"/>
      <c r="H1038" s="27"/>
      <c r="I1038" s="27"/>
      <c r="J1038" s="27"/>
      <c r="K1038" s="27"/>
      <c r="L1038" s="27"/>
      <c r="M1038" s="27"/>
      <c r="N1038" s="27"/>
      <c r="O1038" s="154"/>
    </row>
    <row r="1039" customFormat="false" ht="15.75" hidden="false" customHeight="true" outlineLevel="0" collapsed="false">
      <c r="A1039" s="27"/>
      <c r="B1039" s="27"/>
      <c r="C1039" s="27"/>
      <c r="D1039" s="27"/>
      <c r="E1039" s="27"/>
      <c r="F1039" s="27"/>
      <c r="G1039" s="27"/>
      <c r="H1039" s="27"/>
      <c r="I1039" s="27"/>
      <c r="J1039" s="27"/>
      <c r="K1039" s="27"/>
      <c r="L1039" s="27"/>
      <c r="M1039" s="27"/>
      <c r="N1039" s="27"/>
      <c r="O1039" s="154"/>
    </row>
    <row r="1040" customFormat="false" ht="15.75" hidden="false" customHeight="true" outlineLevel="0" collapsed="false">
      <c r="A1040" s="27"/>
      <c r="B1040" s="27"/>
      <c r="C1040" s="27"/>
      <c r="D1040" s="27"/>
      <c r="E1040" s="27"/>
      <c r="F1040" s="27"/>
      <c r="G1040" s="27"/>
      <c r="H1040" s="27"/>
      <c r="I1040" s="27"/>
      <c r="J1040" s="27"/>
      <c r="K1040" s="27"/>
      <c r="L1040" s="27"/>
      <c r="M1040" s="27"/>
      <c r="N1040" s="27"/>
      <c r="O1040" s="154"/>
    </row>
    <row r="1041" customFormat="false" ht="15.75" hidden="false" customHeight="true" outlineLevel="0" collapsed="false">
      <c r="A1041" s="27"/>
      <c r="B1041" s="27"/>
      <c r="C1041" s="27"/>
      <c r="D1041" s="27"/>
      <c r="E1041" s="27"/>
      <c r="F1041" s="27"/>
      <c r="G1041" s="27"/>
      <c r="H1041" s="27"/>
      <c r="I1041" s="27"/>
      <c r="J1041" s="27"/>
      <c r="K1041" s="27"/>
      <c r="L1041" s="27"/>
      <c r="M1041" s="27"/>
      <c r="N1041" s="27"/>
      <c r="O1041" s="154"/>
    </row>
    <row r="1042" customFormat="false" ht="15.75" hidden="false" customHeight="true" outlineLevel="0" collapsed="false">
      <c r="A1042" s="27"/>
      <c r="B1042" s="27"/>
      <c r="C1042" s="27"/>
      <c r="D1042" s="27"/>
      <c r="E1042" s="27"/>
      <c r="F1042" s="27"/>
      <c r="G1042" s="27"/>
      <c r="H1042" s="27"/>
      <c r="I1042" s="27"/>
      <c r="J1042" s="27"/>
      <c r="K1042" s="27"/>
      <c r="L1042" s="27"/>
      <c r="M1042" s="27"/>
      <c r="N1042" s="27"/>
      <c r="O1042" s="154"/>
    </row>
    <row r="1043" customFormat="false" ht="15.75" hidden="false" customHeight="true" outlineLevel="0" collapsed="false">
      <c r="A1043" s="27"/>
      <c r="B1043" s="27"/>
      <c r="C1043" s="27"/>
      <c r="D1043" s="27"/>
      <c r="E1043" s="27"/>
      <c r="F1043" s="27"/>
      <c r="G1043" s="27"/>
      <c r="H1043" s="27"/>
      <c r="I1043" s="27"/>
      <c r="J1043" s="27"/>
      <c r="K1043" s="27"/>
      <c r="L1043" s="27"/>
      <c r="M1043" s="27"/>
      <c r="N1043" s="27"/>
      <c r="O1043" s="154"/>
    </row>
    <row r="1044" customFormat="false" ht="15.75" hidden="false" customHeight="true" outlineLevel="0" collapsed="false">
      <c r="A1044" s="27"/>
      <c r="B1044" s="27"/>
      <c r="C1044" s="27"/>
      <c r="D1044" s="27"/>
      <c r="E1044" s="27"/>
      <c r="F1044" s="27"/>
      <c r="G1044" s="27"/>
      <c r="H1044" s="27"/>
      <c r="I1044" s="27"/>
      <c r="J1044" s="27"/>
      <c r="K1044" s="27"/>
      <c r="L1044" s="27"/>
      <c r="M1044" s="27"/>
      <c r="N1044" s="27"/>
      <c r="O1044" s="154"/>
    </row>
    <row r="1045" customFormat="false" ht="15.75" hidden="false" customHeight="true" outlineLevel="0" collapsed="false">
      <c r="A1045" s="27"/>
      <c r="B1045" s="27"/>
      <c r="C1045" s="27"/>
      <c r="D1045" s="27"/>
      <c r="E1045" s="27"/>
      <c r="F1045" s="27"/>
      <c r="G1045" s="27"/>
      <c r="H1045" s="27"/>
      <c r="I1045" s="27"/>
      <c r="J1045" s="27"/>
      <c r="K1045" s="27"/>
      <c r="L1045" s="27"/>
      <c r="M1045" s="27"/>
      <c r="N1045" s="27"/>
      <c r="O1045" s="154"/>
    </row>
    <row r="1046" customFormat="false" ht="15.75" hidden="false" customHeight="true" outlineLevel="0" collapsed="false">
      <c r="A1046" s="27"/>
      <c r="B1046" s="27"/>
      <c r="C1046" s="27"/>
      <c r="D1046" s="27"/>
      <c r="E1046" s="27"/>
      <c r="F1046" s="27"/>
      <c r="G1046" s="27"/>
      <c r="H1046" s="27"/>
      <c r="I1046" s="27"/>
      <c r="J1046" s="27"/>
      <c r="K1046" s="27"/>
      <c r="L1046" s="27"/>
      <c r="M1046" s="27"/>
      <c r="N1046" s="27"/>
      <c r="O1046" s="154"/>
    </row>
    <row r="1047" customFormat="false" ht="15.75" hidden="false" customHeight="true" outlineLevel="0" collapsed="false">
      <c r="A1047" s="27"/>
      <c r="B1047" s="27"/>
      <c r="C1047" s="27"/>
      <c r="D1047" s="27"/>
      <c r="E1047" s="27"/>
      <c r="F1047" s="27"/>
      <c r="G1047" s="27"/>
      <c r="H1047" s="27"/>
      <c r="I1047" s="27"/>
      <c r="J1047" s="27"/>
      <c r="K1047" s="27"/>
      <c r="L1047" s="27"/>
      <c r="M1047" s="27"/>
      <c r="N1047" s="27"/>
      <c r="O1047" s="154"/>
    </row>
    <row r="1048" customFormat="false" ht="15.75" hidden="false" customHeight="true" outlineLevel="0" collapsed="false">
      <c r="A1048" s="27"/>
      <c r="B1048" s="27"/>
      <c r="C1048" s="27"/>
      <c r="D1048" s="27"/>
      <c r="E1048" s="27"/>
      <c r="F1048" s="27"/>
      <c r="G1048" s="27"/>
      <c r="H1048" s="27"/>
      <c r="I1048" s="27"/>
      <c r="J1048" s="27"/>
      <c r="K1048" s="27"/>
      <c r="L1048" s="27"/>
      <c r="M1048" s="27"/>
      <c r="N1048" s="27"/>
      <c r="O1048" s="154"/>
    </row>
    <row r="1049" customFormat="false" ht="15.75" hidden="false" customHeight="true" outlineLevel="0" collapsed="false">
      <c r="A1049" s="27"/>
      <c r="B1049" s="27"/>
      <c r="C1049" s="27"/>
      <c r="D1049" s="27"/>
      <c r="E1049" s="27"/>
      <c r="F1049" s="27"/>
      <c r="G1049" s="27"/>
      <c r="H1049" s="27"/>
      <c r="I1049" s="27"/>
      <c r="J1049" s="27"/>
      <c r="K1049" s="27"/>
      <c r="L1049" s="27"/>
      <c r="M1049" s="27"/>
      <c r="N1049" s="27"/>
      <c r="O1049" s="154"/>
    </row>
    <row r="1050" customFormat="false" ht="15.75" hidden="false" customHeight="true" outlineLevel="0" collapsed="false">
      <c r="A1050" s="27"/>
      <c r="B1050" s="27"/>
      <c r="C1050" s="27"/>
      <c r="D1050" s="27"/>
      <c r="E1050" s="27"/>
      <c r="F1050" s="27"/>
      <c r="G1050" s="27"/>
      <c r="H1050" s="27"/>
      <c r="I1050" s="27"/>
      <c r="J1050" s="27"/>
      <c r="K1050" s="27"/>
      <c r="L1050" s="27"/>
      <c r="M1050" s="27"/>
      <c r="N1050" s="27"/>
      <c r="O1050" s="154"/>
    </row>
    <row r="1051" customFormat="false" ht="15.75" hidden="false" customHeight="true" outlineLevel="0" collapsed="false">
      <c r="A1051" s="27"/>
      <c r="B1051" s="27"/>
      <c r="C1051" s="27"/>
      <c r="D1051" s="27"/>
      <c r="E1051" s="27"/>
      <c r="F1051" s="27"/>
      <c r="G1051" s="27"/>
      <c r="H1051" s="27"/>
      <c r="I1051" s="27"/>
      <c r="J1051" s="27"/>
      <c r="K1051" s="27"/>
      <c r="L1051" s="27"/>
      <c r="M1051" s="27"/>
      <c r="N1051" s="27"/>
      <c r="O1051" s="154"/>
    </row>
    <row r="1052" customFormat="false" ht="15.75" hidden="false" customHeight="true" outlineLevel="0" collapsed="false">
      <c r="A1052" s="27"/>
      <c r="B1052" s="27"/>
      <c r="C1052" s="27"/>
      <c r="D1052" s="27"/>
      <c r="E1052" s="27"/>
      <c r="F1052" s="27"/>
      <c r="G1052" s="27"/>
      <c r="H1052" s="27"/>
      <c r="I1052" s="27"/>
      <c r="J1052" s="27"/>
      <c r="K1052" s="27"/>
      <c r="L1052" s="27"/>
      <c r="M1052" s="27"/>
      <c r="N1052" s="27"/>
      <c r="O1052" s="154"/>
    </row>
    <row r="1053" customFormat="false" ht="15.75" hidden="false" customHeight="true" outlineLevel="0" collapsed="false">
      <c r="A1053" s="27"/>
      <c r="B1053" s="27"/>
      <c r="C1053" s="27"/>
      <c r="D1053" s="27"/>
      <c r="E1053" s="27"/>
      <c r="F1053" s="27"/>
      <c r="G1053" s="27"/>
      <c r="H1053" s="27"/>
      <c r="I1053" s="27"/>
      <c r="J1053" s="27"/>
      <c r="K1053" s="27"/>
      <c r="L1053" s="27"/>
      <c r="M1053" s="27"/>
      <c r="N1053" s="27"/>
      <c r="O1053" s="154"/>
    </row>
    <row r="1054" customFormat="false" ht="15.75" hidden="false" customHeight="true" outlineLevel="0" collapsed="false">
      <c r="A1054" s="27"/>
      <c r="B1054" s="27"/>
      <c r="C1054" s="27"/>
      <c r="D1054" s="27"/>
      <c r="E1054" s="27"/>
      <c r="F1054" s="27"/>
      <c r="G1054" s="27"/>
      <c r="H1054" s="27"/>
      <c r="I1054" s="27"/>
      <c r="J1054" s="27"/>
      <c r="K1054" s="27"/>
      <c r="L1054" s="27"/>
      <c r="M1054" s="27"/>
      <c r="N1054" s="27"/>
      <c r="O1054" s="154"/>
    </row>
    <row r="1055" customFormat="false" ht="15.75" hidden="false" customHeight="true" outlineLevel="0" collapsed="false">
      <c r="A1055" s="27"/>
      <c r="B1055" s="27"/>
      <c r="C1055" s="27"/>
      <c r="D1055" s="27"/>
      <c r="E1055" s="27"/>
      <c r="F1055" s="27"/>
      <c r="G1055" s="27"/>
      <c r="H1055" s="27"/>
      <c r="I1055" s="27"/>
      <c r="J1055" s="27"/>
      <c r="K1055" s="27"/>
      <c r="L1055" s="27"/>
      <c r="M1055" s="27"/>
      <c r="N1055" s="27"/>
      <c r="O1055" s="154"/>
    </row>
    <row r="1056" customFormat="false" ht="15.75" hidden="false" customHeight="true" outlineLevel="0" collapsed="false">
      <c r="A1056" s="27"/>
      <c r="B1056" s="27"/>
      <c r="C1056" s="27"/>
      <c r="D1056" s="27"/>
      <c r="E1056" s="27"/>
      <c r="F1056" s="27"/>
      <c r="G1056" s="27"/>
      <c r="H1056" s="27"/>
      <c r="I1056" s="27"/>
      <c r="J1056" s="27"/>
      <c r="K1056" s="27"/>
      <c r="L1056" s="27"/>
      <c r="M1056" s="27"/>
      <c r="N1056" s="27"/>
      <c r="O1056" s="154"/>
    </row>
  </sheetData>
  <mergeCells count="13">
    <mergeCell ref="B13:F13"/>
    <mergeCell ref="G13:J13"/>
    <mergeCell ref="K13:M13"/>
    <mergeCell ref="N13:N15"/>
    <mergeCell ref="O13:O15"/>
    <mergeCell ref="A14:A15"/>
    <mergeCell ref="A28:M28"/>
    <mergeCell ref="N28:N29"/>
    <mergeCell ref="A47:M47"/>
    <mergeCell ref="N47:N48"/>
    <mergeCell ref="A65:M65"/>
    <mergeCell ref="N65:N66"/>
    <mergeCell ref="A90:M90"/>
  </mergeCells>
  <conditionalFormatting sqref="B87:M87">
    <cfRule type="cellIs" priority="2" operator="equal" aboveAverage="0" equalAverage="0" bottom="0" percent="0" rank="0" text="" dxfId="2">
      <formula>0</formula>
    </cfRule>
    <cfRule type="cellIs" priority="3" operator="greaterThan" aboveAverage="0" equalAverage="0" bottom="0" percent="0" rank="0" text="" dxfId="0">
      <formula>0</formula>
    </cfRule>
    <cfRule type="cellIs" priority="4" operator="lessThan" aboveAverage="0" equalAverage="0" bottom="0" percent="0" rank="0" text="" dxfId="1">
      <formula>0</formula>
    </cfRule>
  </conditionalFormatting>
  <dataValidations count="2">
    <dataValidation allowBlank="true" errorStyle="stop" operator="between" prompt="Click and enter a value from the list of items" showDropDown="false" showErrorMessage="true" showInputMessage="true" sqref="B15:M15" type="list">
      <formula1>"Alto,Medio,Bajo,Custom"</formula1>
      <formula2>0</formula2>
    </dataValidation>
    <dataValidation allowBlank="true" errorStyle="stop" operator="between" prompt="Enter a valid date" showDropDown="true" showErrorMessage="false" showInputMessage="true" sqref="B83" type="custom">
      <formula1>OR(NOT(ISERROR(DATEVALUE(B83))), AND(ISNUMBER(B83), LEFT(CELL("format", B83))="D"))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AA84F"/>
    <outlinePr summaryBelow="0"/>
    <pageSetUpPr fitToPage="false"/>
  </sheetPr>
  <dimension ref="A1:O9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customHeight="true" zeroHeight="false" outlineLevelRow="0" outlineLevelCol="0"/>
  <cols>
    <col collapsed="false" customWidth="true" hidden="false" outlineLevel="0" max="1" min="1" style="18" width="20.38"/>
  </cols>
  <sheetData>
    <row r="1" customFormat="false" ht="15.75" hidden="false" customHeight="true" outlineLevel="0" collapsed="false">
      <c r="A1" s="35" t="s">
        <v>123</v>
      </c>
      <c r="B1" s="23"/>
      <c r="C1" s="23"/>
      <c r="D1" s="27"/>
      <c r="E1" s="23"/>
      <c r="F1" s="27"/>
      <c r="G1" s="23"/>
      <c r="H1" s="27"/>
      <c r="I1" s="27"/>
      <c r="J1" s="27"/>
      <c r="K1" s="27"/>
      <c r="L1" s="27"/>
      <c r="M1" s="27"/>
      <c r="N1" s="27"/>
    </row>
    <row r="2" customFormat="false" ht="15.75" hidden="false" customHeight="true" outlineLevel="0" collapsed="false">
      <c r="A2" s="27"/>
      <c r="B2" s="23"/>
      <c r="C2" s="23"/>
      <c r="D2" s="23"/>
      <c r="E2" s="23"/>
      <c r="F2" s="23"/>
      <c r="G2" s="23"/>
      <c r="H2" s="23"/>
      <c r="I2" s="27"/>
      <c r="J2" s="27"/>
      <c r="K2" s="27"/>
      <c r="L2" s="27"/>
      <c r="M2" s="27"/>
      <c r="N2" s="27"/>
    </row>
    <row r="3" customFormat="false" ht="15.75" hidden="false" customHeight="true" outlineLevel="0" collapsed="false">
      <c r="A3" s="27"/>
      <c r="B3" s="23"/>
      <c r="C3" s="23"/>
      <c r="D3" s="23"/>
      <c r="E3" s="23"/>
      <c r="F3" s="23"/>
      <c r="G3" s="23"/>
      <c r="H3" s="23"/>
      <c r="I3" s="27"/>
      <c r="J3" s="27"/>
      <c r="K3" s="27"/>
      <c r="L3" s="27"/>
      <c r="M3" s="27"/>
      <c r="N3" s="27"/>
    </row>
    <row r="4" customFormat="false" ht="15.75" hidden="false" customHeight="true" outlineLevel="0" collapsed="false">
      <c r="A4" s="49" t="s">
        <v>128</v>
      </c>
      <c r="B4" s="50" t="n">
        <v>46235</v>
      </c>
      <c r="C4" s="51" t="n">
        <v>46266</v>
      </c>
      <c r="D4" s="51" t="n">
        <v>46296</v>
      </c>
      <c r="E4" s="51" t="n">
        <v>46327</v>
      </c>
      <c r="F4" s="51" t="n">
        <v>46357</v>
      </c>
      <c r="G4" s="50" t="n">
        <v>46388</v>
      </c>
      <c r="H4" s="51" t="n">
        <v>46419</v>
      </c>
      <c r="I4" s="51" t="n">
        <v>46447</v>
      </c>
      <c r="J4" s="52" t="n">
        <v>46478</v>
      </c>
      <c r="K4" s="50" t="n">
        <v>46508</v>
      </c>
      <c r="L4" s="51" t="n">
        <v>46539</v>
      </c>
      <c r="M4" s="52" t="n">
        <v>46569</v>
      </c>
      <c r="N4" s="86" t="s">
        <v>126</v>
      </c>
    </row>
    <row r="5" customFormat="false" ht="15.75" hidden="false" customHeight="true" outlineLevel="0" collapsed="false">
      <c r="A5" s="63" t="str">
        <f aca="false">A$1</f>
        <v>Open Day/Tryouts</v>
      </c>
      <c r="B5" s="181"/>
      <c r="C5" s="182" t="n">
        <f aca="false">'Texas State University'!C26</f>
        <v>59280</v>
      </c>
      <c r="D5" s="67" t="n">
        <f aca="false">+(('Arkansas State University'!D26))+('Texas State University'!D26)</f>
        <v>132970.666666667</v>
      </c>
      <c r="E5" s="67" t="n">
        <f aca="false">+(('Arkansas State University'!E26))+('Texas State University'!E26)</f>
        <v>132970.666666667</v>
      </c>
      <c r="F5" s="67" t="n">
        <f aca="false">+(('Arkansas State University'!F26))+('Texas State University'!F26)</f>
        <v>96791</v>
      </c>
      <c r="G5" s="183" t="n">
        <f aca="false">+(('Arkansas State University'!G26))+('Texas State University'!G26)</f>
        <v>96791</v>
      </c>
      <c r="H5" s="67" t="n">
        <f aca="false">+(('Arkansas State University'!H26))+('Texas State University'!H26)</f>
        <v>132970.666666667</v>
      </c>
      <c r="I5" s="67" t="n">
        <f aca="false">+(('Arkansas State University'!I26))+('Texas State University'!I26)</f>
        <v>96791</v>
      </c>
      <c r="J5" s="184" t="n">
        <f aca="false">+(('Arkansas State University'!J26))+('Texas State University'!J26)</f>
        <v>96791</v>
      </c>
      <c r="K5" s="67" t="n">
        <f aca="false">+(('Arkansas State University'!K26))+('Texas State University'!K26)</f>
        <v>120284</v>
      </c>
      <c r="L5" s="67" t="n">
        <f aca="false">+(('Arkansas State University'!L26))+('Texas State University'!L26)</f>
        <v>120284</v>
      </c>
      <c r="M5" s="67" t="n">
        <f aca="false">+(('Arkansas State University'!M26))+('Texas State University'!M26)</f>
        <v>104268</v>
      </c>
      <c r="N5" s="183" t="n">
        <f aca="false">SUM(B5:M5)</f>
        <v>1190192</v>
      </c>
    </row>
    <row r="6" customFormat="false" ht="15.75" hidden="false" customHeight="true" outlineLevel="0" collapsed="false">
      <c r="A6" s="72" t="s">
        <v>164</v>
      </c>
      <c r="B6" s="73"/>
      <c r="C6" s="74"/>
      <c r="D6" s="74"/>
      <c r="E6" s="74"/>
      <c r="F6" s="74"/>
      <c r="G6" s="73"/>
      <c r="H6" s="74"/>
      <c r="I6" s="74"/>
      <c r="J6" s="75"/>
      <c r="K6" s="73"/>
      <c r="L6" s="74"/>
      <c r="M6" s="75"/>
      <c r="N6" s="73" t="n">
        <f aca="false">SUM(B6:M6)</f>
        <v>0</v>
      </c>
    </row>
    <row r="7" customFormat="false" ht="15.75" hidden="false" customHeight="true" outlineLevel="0" collapsed="false">
      <c r="A7" s="72" t="s">
        <v>157</v>
      </c>
      <c r="B7" s="76"/>
      <c r="C7" s="77"/>
      <c r="D7" s="77"/>
      <c r="E7" s="77"/>
      <c r="F7" s="77"/>
      <c r="G7" s="76"/>
      <c r="H7" s="77"/>
      <c r="I7" s="77"/>
      <c r="J7" s="166"/>
      <c r="K7" s="76"/>
      <c r="L7" s="77"/>
      <c r="M7" s="166"/>
      <c r="N7" s="73" t="n">
        <f aca="false">SUM(B7:M7)</f>
        <v>0</v>
      </c>
    </row>
    <row r="8" customFormat="false" ht="15.75" hidden="false" customHeight="true" outlineLevel="0" collapsed="false">
      <c r="A8" s="27"/>
      <c r="B8" s="27"/>
      <c r="C8" s="27"/>
      <c r="D8" s="32"/>
      <c r="E8" s="32"/>
      <c r="F8" s="32"/>
      <c r="G8" s="32"/>
      <c r="H8" s="32"/>
      <c r="I8" s="27"/>
      <c r="J8" s="27"/>
      <c r="K8" s="27"/>
      <c r="L8" s="27"/>
      <c r="M8" s="27"/>
      <c r="N8" s="27"/>
    </row>
    <row r="9" customFormat="false" ht="15.75" hidden="false" customHeight="true" outlineLevel="0" collapsed="false">
      <c r="A9" s="27"/>
      <c r="B9" s="27"/>
      <c r="C9" s="27"/>
      <c r="D9" s="27"/>
      <c r="E9" s="27"/>
      <c r="F9" s="27"/>
      <c r="G9" s="27"/>
      <c r="H9" s="32"/>
      <c r="I9" s="27"/>
      <c r="J9" s="27"/>
      <c r="K9" s="27"/>
      <c r="L9" s="27"/>
      <c r="M9" s="27"/>
      <c r="N9" s="27"/>
    </row>
    <row r="10" customFormat="false" ht="15.75" hidden="false" customHeight="true" outlineLevel="0" collapsed="false">
      <c r="A10" s="85" t="s">
        <v>132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6" t="s">
        <v>126</v>
      </c>
    </row>
    <row r="11" customFormat="false" ht="15.75" hidden="false" customHeight="true" outlineLevel="0" collapsed="false">
      <c r="A11" s="87" t="s">
        <v>133</v>
      </c>
      <c r="B11" s="50" t="n">
        <f aca="false">B$4</f>
        <v>46235</v>
      </c>
      <c r="C11" s="51" t="n">
        <f aca="false">C$4</f>
        <v>46266</v>
      </c>
      <c r="D11" s="51" t="n">
        <f aca="false">D$4</f>
        <v>46296</v>
      </c>
      <c r="E11" s="51" t="n">
        <f aca="false">E$4</f>
        <v>46327</v>
      </c>
      <c r="F11" s="51" t="n">
        <f aca="false">F$4</f>
        <v>46357</v>
      </c>
      <c r="G11" s="50" t="n">
        <f aca="false">G$4</f>
        <v>46388</v>
      </c>
      <c r="H11" s="51" t="n">
        <f aca="false">H$4</f>
        <v>46419</v>
      </c>
      <c r="I11" s="51" t="n">
        <f aca="false">I$4</f>
        <v>46447</v>
      </c>
      <c r="J11" s="52" t="n">
        <f aca="false">J$4</f>
        <v>46478</v>
      </c>
      <c r="K11" s="51" t="n">
        <f aca="false">K$4</f>
        <v>46508</v>
      </c>
      <c r="L11" s="51" t="n">
        <f aca="false">L$4</f>
        <v>46539</v>
      </c>
      <c r="M11" s="52" t="n">
        <f aca="false">M$4</f>
        <v>46569</v>
      </c>
      <c r="N11" s="86"/>
    </row>
    <row r="12" customFormat="false" ht="15.75" hidden="false" customHeight="true" outlineLevel="0" collapsed="false">
      <c r="A12" s="63" t="str">
        <f aca="false">A$1</f>
        <v>Open Day/Tryouts</v>
      </c>
      <c r="B12" s="181"/>
      <c r="C12" s="167" t="n">
        <f aca="false">IF(C38,C5/C38,"")</f>
        <v>92.7403022789428</v>
      </c>
      <c r="D12" s="94" t="n">
        <f aca="false">IF(D38,D5/D38,"")</f>
        <v>206.072493182093</v>
      </c>
      <c r="E12" s="94" t="n">
        <f aca="false">IF(E38,E5/E38,"")</f>
        <v>220.445595066942</v>
      </c>
      <c r="F12" s="94" t="n">
        <f aca="false">IF(F38,F5/F38,"")</f>
        <v>134.332090923525</v>
      </c>
      <c r="G12" s="93" t="n">
        <f aca="false">IF(G38,G5/G38,"")</f>
        <v>153.13032713293</v>
      </c>
      <c r="H12" s="94" t="n">
        <f aca="false">IF(H38,H5/H38,"")</f>
        <v>220.284049642215</v>
      </c>
      <c r="I12" s="167" t="n">
        <f aca="false">IF(I38,I5/I38,"")</f>
        <v>181.431870496585</v>
      </c>
      <c r="J12" s="95" t="n">
        <f aca="false">IF(J38,J5/J38,"")</f>
        <v>136.06397513284</v>
      </c>
      <c r="K12" s="94" t="n">
        <f aca="false">IF(K38,K5/K38,"")</f>
        <v>203.170420667697</v>
      </c>
      <c r="L12" s="94" t="n">
        <f aca="false">IF(L38,L5/L38,"")</f>
        <v>177.78731621027</v>
      </c>
      <c r="M12" s="95" t="n">
        <f aca="false">IF(M38,M5/M38,"")</f>
        <v>138.264558866334</v>
      </c>
      <c r="N12" s="93" t="n">
        <f aca="false">SUM(B12:M12)</f>
        <v>1863.72299960037</v>
      </c>
    </row>
    <row r="13" customFormat="false" ht="15.75" hidden="false" customHeight="true" outlineLevel="0" collapsed="false">
      <c r="A13" s="96" t="str">
        <f aca="false">A10</f>
        <v>Proyección Leads</v>
      </c>
      <c r="B13" s="97" t="n">
        <f aca="false">SUM(B12)</f>
        <v>0</v>
      </c>
      <c r="C13" s="98" t="n">
        <f aca="false">SUM(C12)</f>
        <v>92.7403022789428</v>
      </c>
      <c r="D13" s="98" t="n">
        <f aca="false">SUM(D12)</f>
        <v>206.072493182093</v>
      </c>
      <c r="E13" s="98" t="n">
        <f aca="false">SUM(E12)</f>
        <v>220.445595066942</v>
      </c>
      <c r="F13" s="98" t="n">
        <f aca="false">SUM(F12)</f>
        <v>134.332090923525</v>
      </c>
      <c r="G13" s="97" t="n">
        <f aca="false">SUM(G12)</f>
        <v>153.13032713293</v>
      </c>
      <c r="H13" s="98" t="n">
        <f aca="false">SUM(H12)</f>
        <v>220.284049642215</v>
      </c>
      <c r="I13" s="98" t="n">
        <f aca="false">SUM(I12)</f>
        <v>181.431870496585</v>
      </c>
      <c r="J13" s="99" t="n">
        <f aca="false">SUM(J12)</f>
        <v>136.06397513284</v>
      </c>
      <c r="K13" s="98" t="n">
        <f aca="false">SUM(K12)</f>
        <v>203.170420667697</v>
      </c>
      <c r="L13" s="98" t="n">
        <f aca="false">SUM(L12)</f>
        <v>177.78731621027</v>
      </c>
      <c r="M13" s="99" t="n">
        <f aca="false">SUM(M12)</f>
        <v>138.264558866334</v>
      </c>
      <c r="N13" s="97" t="n">
        <f aca="false">SUM(B13:M13)</f>
        <v>1863.72299960037</v>
      </c>
      <c r="O13" s="185"/>
    </row>
    <row r="14" customFormat="false" ht="15.75" hidden="false" customHeight="true" outlineLevel="0" collapsed="false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customFormat="false" ht="15.75" hidden="false" customHeight="true" outlineLevel="0" collapsed="false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customFormat="false" ht="15.75" hidden="false" customHeight="true" outlineLevel="0" collapsed="false">
      <c r="A16" s="85" t="s">
        <v>142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6" t="s">
        <v>126</v>
      </c>
    </row>
    <row r="17" customFormat="false" ht="15.75" hidden="false" customHeight="true" outlineLevel="0" collapsed="false">
      <c r="A17" s="87" t="s">
        <v>133</v>
      </c>
      <c r="B17" s="50" t="n">
        <f aca="false">B$4</f>
        <v>46235</v>
      </c>
      <c r="C17" s="51" t="n">
        <f aca="false">C$4</f>
        <v>46266</v>
      </c>
      <c r="D17" s="51" t="n">
        <f aca="false">D$4</f>
        <v>46296</v>
      </c>
      <c r="E17" s="51" t="n">
        <f aca="false">E$4</f>
        <v>46327</v>
      </c>
      <c r="F17" s="51" t="n">
        <f aca="false">F$4</f>
        <v>46357</v>
      </c>
      <c r="G17" s="50" t="n">
        <f aca="false">G$4</f>
        <v>46388</v>
      </c>
      <c r="H17" s="51" t="n">
        <f aca="false">H$4</f>
        <v>46419</v>
      </c>
      <c r="I17" s="51" t="n">
        <f aca="false">I$4</f>
        <v>46447</v>
      </c>
      <c r="J17" s="52" t="n">
        <f aca="false">J$4</f>
        <v>46478</v>
      </c>
      <c r="K17" s="51" t="n">
        <f aca="false">K$4</f>
        <v>46508</v>
      </c>
      <c r="L17" s="51" t="n">
        <f aca="false">L$4</f>
        <v>46539</v>
      </c>
      <c r="M17" s="52" t="n">
        <f aca="false">M$4</f>
        <v>46569</v>
      </c>
      <c r="N17" s="86"/>
    </row>
    <row r="18" customFormat="false" ht="15.75" hidden="false" customHeight="true" outlineLevel="0" collapsed="false">
      <c r="A18" s="63" t="str">
        <f aca="false">A$1</f>
        <v>Open Day/Tryouts</v>
      </c>
      <c r="B18" s="181"/>
      <c r="C18" s="94" t="n">
        <v>78</v>
      </c>
      <c r="D18" s="94"/>
      <c r="E18" s="94"/>
      <c r="F18" s="94"/>
      <c r="G18" s="93"/>
      <c r="H18" s="94"/>
      <c r="I18" s="94"/>
      <c r="J18" s="95"/>
      <c r="K18" s="94"/>
      <c r="L18" s="94"/>
      <c r="M18" s="95"/>
      <c r="N18" s="93" t="n">
        <f aca="false">SUM(B18:M18)</f>
        <v>78</v>
      </c>
    </row>
    <row r="19" customFormat="false" ht="15.75" hidden="false" customHeight="true" outlineLevel="0" collapsed="false">
      <c r="A19" s="116" t="s">
        <v>143</v>
      </c>
      <c r="B19" s="117" t="n">
        <f aca="false">SUM(B18)</f>
        <v>0</v>
      </c>
      <c r="C19" s="118" t="n">
        <f aca="false">SUM(C18)</f>
        <v>78</v>
      </c>
      <c r="D19" s="118" t="n">
        <f aca="false">SUM(D18)</f>
        <v>0</v>
      </c>
      <c r="E19" s="118" t="n">
        <f aca="false">SUM(E18)</f>
        <v>0</v>
      </c>
      <c r="F19" s="118" t="n">
        <f aca="false">SUM(F18)</f>
        <v>0</v>
      </c>
      <c r="G19" s="117" t="n">
        <f aca="false">SUM(G18)</f>
        <v>0</v>
      </c>
      <c r="H19" s="118" t="n">
        <f aca="false">SUM(H18)</f>
        <v>0</v>
      </c>
      <c r="I19" s="118" t="n">
        <f aca="false">SUM(I18)</f>
        <v>0</v>
      </c>
      <c r="J19" s="119" t="n">
        <f aca="false">SUM(J18)</f>
        <v>0</v>
      </c>
      <c r="K19" s="118" t="n">
        <f aca="false">SUM(K18)</f>
        <v>0</v>
      </c>
      <c r="L19" s="118" t="n">
        <f aca="false">SUM(L18)</f>
        <v>0</v>
      </c>
      <c r="M19" s="119" t="n">
        <f aca="false">SUM(M18)</f>
        <v>0</v>
      </c>
      <c r="N19" s="118" t="n">
        <f aca="false">SUM(N18)</f>
        <v>78</v>
      </c>
    </row>
    <row r="20" customFormat="false" ht="15.75" hidden="false" customHeight="true" outlineLevel="0" collapsed="false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</row>
    <row r="21" customFormat="false" ht="15.75" hidden="false" customHeight="true" outlineLevel="0" collapsed="false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2" customFormat="false" ht="15.75" hidden="false" customHeight="true" outlineLevel="0" collapsed="false">
      <c r="A22" s="85" t="s">
        <v>144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6" t="s">
        <v>126</v>
      </c>
    </row>
    <row r="23" customFormat="false" ht="15.75" hidden="false" customHeight="true" outlineLevel="0" collapsed="false">
      <c r="A23" s="87" t="s">
        <v>133</v>
      </c>
      <c r="B23" s="50" t="n">
        <f aca="false">B$4</f>
        <v>46235</v>
      </c>
      <c r="C23" s="51" t="n">
        <f aca="false">C$4</f>
        <v>46266</v>
      </c>
      <c r="D23" s="51" t="n">
        <f aca="false">D$4</f>
        <v>46296</v>
      </c>
      <c r="E23" s="51" t="n">
        <f aca="false">E$4</f>
        <v>46327</v>
      </c>
      <c r="F23" s="51" t="n">
        <f aca="false">F$4</f>
        <v>46357</v>
      </c>
      <c r="G23" s="50" t="n">
        <f aca="false">G$4</f>
        <v>46388</v>
      </c>
      <c r="H23" s="51" t="n">
        <f aca="false">H$4</f>
        <v>46419</v>
      </c>
      <c r="I23" s="51" t="n">
        <f aca="false">I$4</f>
        <v>46447</v>
      </c>
      <c r="J23" s="52" t="n">
        <f aca="false">J$4</f>
        <v>46478</v>
      </c>
      <c r="K23" s="51" t="n">
        <f aca="false">K$4</f>
        <v>46508</v>
      </c>
      <c r="L23" s="51" t="n">
        <f aca="false">L$4</f>
        <v>46539</v>
      </c>
      <c r="M23" s="52" t="n">
        <f aca="false">M$4</f>
        <v>46569</v>
      </c>
      <c r="N23" s="86"/>
    </row>
    <row r="24" customFormat="false" ht="15.75" hidden="false" customHeight="true" outlineLevel="0" collapsed="false">
      <c r="A24" s="63" t="str">
        <f aca="false">A$1</f>
        <v>Open Day/Tryouts</v>
      </c>
      <c r="B24" s="181"/>
      <c r="C24" s="126" t="n">
        <f aca="false">C18/C12</f>
        <v>0.841058289473684</v>
      </c>
      <c r="D24" s="126" t="n">
        <f aca="false">D18/D12</f>
        <v>0</v>
      </c>
      <c r="E24" s="126" t="n">
        <f aca="false">E18/E12</f>
        <v>0</v>
      </c>
      <c r="F24" s="126" t="n">
        <f aca="false">F18/F12</f>
        <v>0</v>
      </c>
      <c r="G24" s="125" t="n">
        <f aca="false">G18/G12</f>
        <v>0</v>
      </c>
      <c r="H24" s="126" t="n">
        <f aca="false">H18/H12</f>
        <v>0</v>
      </c>
      <c r="I24" s="126" t="n">
        <f aca="false">I18/I12</f>
        <v>0</v>
      </c>
      <c r="J24" s="127" t="n">
        <f aca="false">J18/J12</f>
        <v>0</v>
      </c>
      <c r="K24" s="126" t="n">
        <f aca="false">K18/K12</f>
        <v>0</v>
      </c>
      <c r="L24" s="126" t="n">
        <f aca="false">L18/L12</f>
        <v>0</v>
      </c>
      <c r="M24" s="127" t="n">
        <f aca="false">M18/M12</f>
        <v>0</v>
      </c>
      <c r="N24" s="125" t="n">
        <f aca="false">N18/N12</f>
        <v>0.0418517129512943</v>
      </c>
    </row>
    <row r="25" customFormat="false" ht="15.75" hidden="false" customHeight="true" outlineLevel="0" collapsed="false">
      <c r="A25" s="116" t="s">
        <v>143</v>
      </c>
      <c r="B25" s="128" t="e">
        <f aca="false">B19/B13</f>
        <v>#DIV/0!</v>
      </c>
      <c r="C25" s="129" t="n">
        <f aca="false">C19/C13</f>
        <v>0.841058289473684</v>
      </c>
      <c r="D25" s="129" t="n">
        <f aca="false">D19/D13</f>
        <v>0</v>
      </c>
      <c r="E25" s="129" t="n">
        <f aca="false">E19/E13</f>
        <v>0</v>
      </c>
      <c r="F25" s="129" t="n">
        <f aca="false">F19/F13</f>
        <v>0</v>
      </c>
      <c r="G25" s="128" t="n">
        <f aca="false">G19/G13</f>
        <v>0</v>
      </c>
      <c r="H25" s="129" t="n">
        <f aca="false">H19/H13</f>
        <v>0</v>
      </c>
      <c r="I25" s="129" t="n">
        <f aca="false">I19/I13</f>
        <v>0</v>
      </c>
      <c r="J25" s="130" t="n">
        <f aca="false">J19/J13</f>
        <v>0</v>
      </c>
      <c r="K25" s="129" t="n">
        <f aca="false">K19/K13</f>
        <v>0</v>
      </c>
      <c r="L25" s="129" t="n">
        <f aca="false">L19/L13</f>
        <v>0</v>
      </c>
      <c r="M25" s="130" t="n">
        <f aca="false">M19/M13</f>
        <v>0</v>
      </c>
      <c r="N25" s="129" t="n">
        <f aca="false">N19/N13</f>
        <v>0.0418517129512943</v>
      </c>
    </row>
    <row r="26" customFormat="false" ht="15.75" hidden="false" customHeight="true" outlineLevel="0" collapsed="false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</row>
    <row r="27" customFormat="false" ht="15.75" hidden="false" customHeight="true" outlineLevel="0" collapsed="false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customFormat="false" ht="15.75" hidden="false" customHeight="true" outlineLevel="0" collapsed="false">
      <c r="A28" s="131" t="s">
        <v>145</v>
      </c>
      <c r="B28" s="132" t="n">
        <v>46295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</row>
    <row r="29" customFormat="false" ht="15.75" hidden="true" customHeight="true" outlineLevel="0" collapsed="false">
      <c r="A29" s="133" t="s">
        <v>146</v>
      </c>
      <c r="B29" s="134" t="n">
        <v>46235</v>
      </c>
      <c r="C29" s="134" t="n">
        <v>46266</v>
      </c>
      <c r="D29" s="134" t="n">
        <v>46296</v>
      </c>
      <c r="E29" s="134" t="n">
        <v>46327</v>
      </c>
      <c r="F29" s="134" t="n">
        <v>46357</v>
      </c>
      <c r="G29" s="134" t="n">
        <v>46388</v>
      </c>
      <c r="H29" s="134" t="n">
        <v>46419</v>
      </c>
      <c r="I29" s="134" t="n">
        <v>46447</v>
      </c>
      <c r="J29" s="134" t="n">
        <v>46478</v>
      </c>
      <c r="K29" s="134" t="n">
        <v>46508</v>
      </c>
      <c r="L29" s="134" t="n">
        <v>46539</v>
      </c>
      <c r="M29" s="134" t="n">
        <v>46569</v>
      </c>
      <c r="N29" s="27"/>
    </row>
    <row r="30" customFormat="false" ht="15.75" hidden="true" customHeight="true" outlineLevel="0" collapsed="false">
      <c r="A30" s="133" t="s">
        <v>147</v>
      </c>
      <c r="B30" s="134" t="n">
        <v>46265</v>
      </c>
      <c r="C30" s="134" t="n">
        <v>46295</v>
      </c>
      <c r="D30" s="134" t="n">
        <v>46326</v>
      </c>
      <c r="E30" s="134" t="n">
        <v>46356</v>
      </c>
      <c r="F30" s="134" t="n">
        <v>46387</v>
      </c>
      <c r="G30" s="134" t="n">
        <v>46752</v>
      </c>
      <c r="H30" s="134" t="n">
        <v>46446</v>
      </c>
      <c r="I30" s="134" t="n">
        <v>46477</v>
      </c>
      <c r="J30" s="134" t="n">
        <v>46507</v>
      </c>
      <c r="K30" s="134" t="n">
        <v>46538</v>
      </c>
      <c r="L30" s="134" t="n">
        <v>46568</v>
      </c>
      <c r="M30" s="134" t="n">
        <v>46599</v>
      </c>
      <c r="N30" s="27"/>
    </row>
    <row r="31" customFormat="false" ht="15.75" hidden="false" customHeight="true" outlineLevel="0" collapsed="false">
      <c r="A31" s="133" t="s">
        <v>148</v>
      </c>
      <c r="B31" s="135" t="n">
        <f aca="false">MAX(0,MIN((_xlfn.DAYS($B$28,B29)+1)/(_xlfn.DAYS(B30,B29)+1),1))</f>
        <v>1</v>
      </c>
      <c r="C31" s="135" t="n">
        <f aca="false">MAX(0,MIN((_xlfn.DAYS($B$28,C29)+1)/(_xlfn.DAYS(C30,C29)+1),1))</f>
        <v>1</v>
      </c>
      <c r="D31" s="135" t="n">
        <f aca="false">MAX(0,MIN((_xlfn.DAYS($B$28,D29)+1)/(_xlfn.DAYS(D30,D29)+1),1))</f>
        <v>0</v>
      </c>
      <c r="E31" s="135" t="n">
        <f aca="false">MAX(0,MIN((_xlfn.DAYS($B$28,E29)+1)/(_xlfn.DAYS(E30,E29)+1),1))</f>
        <v>0</v>
      </c>
      <c r="F31" s="135" t="n">
        <f aca="false">MAX(0,MIN((_xlfn.DAYS($B$28,F29)+1)/(_xlfn.DAYS(F30,F29)+1),1))</f>
        <v>0</v>
      </c>
      <c r="G31" s="135" t="n">
        <f aca="false">MAX(0,MIN((_xlfn.DAYS($B$28,G29)+1)/(_xlfn.DAYS(G30,G29)+1),1))</f>
        <v>0</v>
      </c>
      <c r="H31" s="135" t="n">
        <f aca="false">MAX(0,MIN((_xlfn.DAYS($B$28,H29)+1)/(_xlfn.DAYS(H30,H29)+1),1))</f>
        <v>0</v>
      </c>
      <c r="I31" s="135" t="n">
        <f aca="false">MAX(0,MIN((_xlfn.DAYS($B$28,I29)+1)/(_xlfn.DAYS(I30,I29)+1),1))</f>
        <v>0</v>
      </c>
      <c r="J31" s="135" t="n">
        <f aca="false">MAX(0,MIN((_xlfn.DAYS($B$28,J29)+1)/(_xlfn.DAYS(J30,J29)+1),1))</f>
        <v>0</v>
      </c>
      <c r="K31" s="135" t="n">
        <f aca="false">MAX(0,MIN((_xlfn.DAYS($B$28,K29)+1)/(_xlfn.DAYS(K30,K29)+1),1))</f>
        <v>0</v>
      </c>
      <c r="L31" s="135" t="n">
        <f aca="false">MAX(0,MIN((_xlfn.DAYS($B$28,L29)+1)/(_xlfn.DAYS(L30,L29)+1),1))</f>
        <v>0</v>
      </c>
      <c r="M31" s="135" t="n">
        <f aca="false">MAX(0,MIN((_xlfn.DAYS($B$28,M29)+1)/(_xlfn.DAYS(M30,M29)+1),1))</f>
        <v>0</v>
      </c>
      <c r="N31" s="27"/>
    </row>
    <row r="32" customFormat="false" ht="15.75" hidden="false" customHeight="true" outlineLevel="0" collapsed="false">
      <c r="A32" s="133" t="s">
        <v>149</v>
      </c>
      <c r="B32" s="136" t="str">
        <f aca="false">IFERROR(B25/B31-100%,"")</f>
        <v/>
      </c>
      <c r="C32" s="136" t="n">
        <f aca="false">IFERROR(C25/C31-100%,"")</f>
        <v>-0.158941710526316</v>
      </c>
      <c r="D32" s="136" t="str">
        <f aca="false">IFERROR(D25/D31-100%,"")</f>
        <v/>
      </c>
      <c r="E32" s="136" t="str">
        <f aca="false">IFERROR(E25/E31-100%,"")</f>
        <v/>
      </c>
      <c r="F32" s="136" t="str">
        <f aca="false">IFERROR(F25/F31-100%,"")</f>
        <v/>
      </c>
      <c r="G32" s="136" t="str">
        <f aca="false">IFERROR(G25/G31-100%,"")</f>
        <v/>
      </c>
      <c r="H32" s="136" t="str">
        <f aca="false">IFERROR(H25/H31-100%,"")</f>
        <v/>
      </c>
      <c r="I32" s="136" t="str">
        <f aca="false">IFERROR(I25/I31-100%,"")</f>
        <v/>
      </c>
      <c r="J32" s="136" t="str">
        <f aca="false">IFERROR(J25/J31-100%,"")</f>
        <v/>
      </c>
      <c r="K32" s="136" t="str">
        <f aca="false">IFERROR(K25/K31-100%,"")</f>
        <v/>
      </c>
      <c r="L32" s="136" t="str">
        <f aca="false">IFERROR(L25/L31-100%,"")</f>
        <v/>
      </c>
      <c r="M32" s="136" t="str">
        <f aca="false">IFERROR(M25/M31-100%,"")</f>
        <v/>
      </c>
      <c r="N32" s="27"/>
    </row>
    <row r="33" customFormat="false" ht="15.75" hidden="false" customHeight="true" outlineLevel="0" collapsed="false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</row>
    <row r="34" customFormat="false" ht="15.75" hidden="false" customHeight="true" outlineLevel="0" collapsed="false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</row>
    <row r="35" customFormat="false" ht="15.75" hidden="false" customHeight="true" outlineLevel="0" collapsed="false">
      <c r="A35" s="85" t="s">
        <v>150</v>
      </c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174"/>
    </row>
    <row r="36" customFormat="false" ht="15.75" hidden="false" customHeight="true" outlineLevel="0" collapsed="false">
      <c r="A36" s="87" t="s">
        <v>133</v>
      </c>
      <c r="B36" s="50" t="n">
        <f aca="false">B$4</f>
        <v>46235</v>
      </c>
      <c r="C36" s="51" t="n">
        <f aca="false">C$4</f>
        <v>46266</v>
      </c>
      <c r="D36" s="51" t="n">
        <f aca="false">D$4</f>
        <v>46296</v>
      </c>
      <c r="E36" s="51" t="n">
        <f aca="false">E$4</f>
        <v>46327</v>
      </c>
      <c r="F36" s="51" t="n">
        <f aca="false">F$4</f>
        <v>46357</v>
      </c>
      <c r="G36" s="50" t="n">
        <f aca="false">G$4</f>
        <v>46388</v>
      </c>
      <c r="H36" s="51" t="n">
        <f aca="false">H$4</f>
        <v>46419</v>
      </c>
      <c r="I36" s="51" t="n">
        <f aca="false">I$4</f>
        <v>46447</v>
      </c>
      <c r="J36" s="51" t="n">
        <f aca="false">J$4</f>
        <v>46478</v>
      </c>
      <c r="K36" s="50" t="n">
        <f aca="false">K$4</f>
        <v>46508</v>
      </c>
      <c r="L36" s="51" t="n">
        <f aca="false">L$4</f>
        <v>46539</v>
      </c>
      <c r="M36" s="51" t="n">
        <f aca="false">M$4</f>
        <v>46569</v>
      </c>
      <c r="N36" s="174"/>
    </row>
    <row r="37" customFormat="false" ht="15.75" hidden="false" customHeight="true" outlineLevel="0" collapsed="false">
      <c r="A37" s="138" t="s">
        <v>152</v>
      </c>
      <c r="B37" s="186" t="n">
        <v>0.3186</v>
      </c>
      <c r="C37" s="187" t="n">
        <v>0.5183</v>
      </c>
      <c r="D37" s="187" t="n">
        <v>0.2702</v>
      </c>
      <c r="E37" s="187" t="n">
        <v>0.2944</v>
      </c>
      <c r="F37" s="187" t="n">
        <v>0.3368</v>
      </c>
      <c r="G37" s="186" t="n">
        <v>0.3307</v>
      </c>
      <c r="H37" s="187" t="n">
        <v>0.3489</v>
      </c>
      <c r="I37" s="187" t="n">
        <v>0.2702</v>
      </c>
      <c r="J37" s="187" t="n">
        <v>0.3247</v>
      </c>
      <c r="K37" s="186" t="n">
        <v>0.361</v>
      </c>
      <c r="L37" s="187" t="n">
        <v>0.4154</v>
      </c>
      <c r="M37" s="187" t="n">
        <v>0.5485</v>
      </c>
      <c r="N37" s="174"/>
    </row>
    <row r="38" customFormat="false" ht="15.75" hidden="false" customHeight="true" outlineLevel="0" collapsed="false">
      <c r="A38" s="157" t="str">
        <f aca="false">A$1</f>
        <v>Open Day/Tryouts</v>
      </c>
      <c r="B38" s="147" t="n">
        <f aca="false">B42*(100%+B$37)</f>
        <v>734.4602</v>
      </c>
      <c r="C38" s="146" t="n">
        <f aca="false">C42*(100%+C$37)</f>
        <v>639.2043</v>
      </c>
      <c r="D38" s="146" t="n">
        <f aca="false">D42*(100%+D$37)</f>
        <v>645.2616</v>
      </c>
      <c r="E38" s="146" t="n">
        <f aca="false">E42*(100%+E$37)</f>
        <v>603.1904</v>
      </c>
      <c r="F38" s="146" t="n">
        <f aca="false">F42*(100%+F$37)</f>
        <v>720.5352</v>
      </c>
      <c r="G38" s="147" t="n">
        <f aca="false">G42*(100%+G$37)</f>
        <v>632.0825</v>
      </c>
      <c r="H38" s="146" t="n">
        <f aca="false">H42*(100%+H$37)</f>
        <v>603.63275</v>
      </c>
      <c r="I38" s="146" t="n">
        <f aca="false">I42*(100%+I$37)</f>
        <v>533.484</v>
      </c>
      <c r="J38" s="146" t="n">
        <f aca="false">J42*(100%+J$37)</f>
        <v>711.3639</v>
      </c>
      <c r="K38" s="147" t="n">
        <f aca="false">K42*(100%+K$37)</f>
        <v>592.035</v>
      </c>
      <c r="L38" s="146" t="n">
        <f aca="false">L42*(100%+L$37)</f>
        <v>676.5612</v>
      </c>
      <c r="M38" s="146" t="n">
        <f aca="false">M42*(100%+M$37)</f>
        <v>754.1195</v>
      </c>
      <c r="N38" s="174"/>
    </row>
    <row r="39" customFormat="false" ht="15.75" hidden="false" customHeight="true" outlineLevel="0" collapsed="false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customFormat="false" ht="15.75" hidden="false" customHeight="true" outlineLevel="0" collapsed="false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</row>
    <row r="41" customFormat="false" ht="15.75" hidden="false" customHeight="true" outlineLevel="0" collapsed="false">
      <c r="A41" s="151" t="s">
        <v>155</v>
      </c>
      <c r="B41" s="152" t="n">
        <v>45870</v>
      </c>
      <c r="C41" s="153" t="n">
        <v>45901</v>
      </c>
      <c r="D41" s="153" t="n">
        <v>45931</v>
      </c>
      <c r="E41" s="153" t="n">
        <v>45962</v>
      </c>
      <c r="F41" s="175" t="n">
        <v>45992</v>
      </c>
      <c r="G41" s="152" t="n">
        <v>45658</v>
      </c>
      <c r="H41" s="153" t="n">
        <v>45689</v>
      </c>
      <c r="I41" s="153" t="n">
        <v>45717</v>
      </c>
      <c r="J41" s="153" t="n">
        <v>45748</v>
      </c>
      <c r="K41" s="50" t="n">
        <v>45778</v>
      </c>
      <c r="L41" s="51" t="n">
        <v>45809</v>
      </c>
      <c r="M41" s="51" t="n">
        <v>45839</v>
      </c>
      <c r="N41" s="176"/>
    </row>
    <row r="42" customFormat="false" ht="15.75" hidden="false" customHeight="true" outlineLevel="0" collapsed="false">
      <c r="A42" s="146" t="str">
        <f aca="false">A$1</f>
        <v>Open Day/Tryouts</v>
      </c>
      <c r="B42" s="142" t="n">
        <v>557</v>
      </c>
      <c r="C42" s="143" t="n">
        <v>421</v>
      </c>
      <c r="D42" s="143" t="n">
        <v>508</v>
      </c>
      <c r="E42" s="143" t="n">
        <v>466</v>
      </c>
      <c r="F42" s="143" t="n">
        <v>539</v>
      </c>
      <c r="G42" s="142" t="n">
        <v>475</v>
      </c>
      <c r="H42" s="143" t="n">
        <f aca="false">AVERAGE(G42,I42)</f>
        <v>447.5</v>
      </c>
      <c r="I42" s="143" t="n">
        <v>420</v>
      </c>
      <c r="J42" s="143" t="n">
        <v>537</v>
      </c>
      <c r="K42" s="142" t="n">
        <v>435</v>
      </c>
      <c r="L42" s="143" t="n">
        <v>478</v>
      </c>
      <c r="M42" s="143" t="n">
        <v>487</v>
      </c>
      <c r="N42" s="180"/>
    </row>
    <row r="43" customFormat="false" ht="15.75" hidden="false" customHeight="true" outlineLevel="0" collapsed="false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</row>
    <row r="44" customFormat="false" ht="15.75" hidden="false" customHeight="true" outlineLevel="0" collapsed="false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  <row r="45" customFormat="false" ht="15.75" hidden="false" customHeight="true" outlineLevel="0" collapsed="false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</row>
    <row r="46" customFormat="false" ht="15.75" hidden="false" customHeight="true" outlineLevel="0" collapsed="false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</row>
    <row r="47" customFormat="false" ht="15.75" hidden="false" customHeight="true" outlineLevel="0" collapsed="false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</row>
    <row r="48" customFormat="false" ht="15.75" hidden="false" customHeight="true" outlineLevel="0" collapsed="false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</row>
    <row r="49" customFormat="false" ht="15.75" hidden="false" customHeight="true" outlineLevel="0" collapsed="false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</row>
    <row r="50" customFormat="false" ht="15.75" hidden="false" customHeight="true" outlineLevel="0" collapsed="false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</row>
    <row r="51" customFormat="false" ht="15.75" hidden="false" customHeight="true" outlineLevel="0" collapsed="false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</row>
    <row r="52" customFormat="false" ht="15.75" hidden="false" customHeight="true" outlineLevel="0" collapsed="false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</row>
    <row r="53" customFormat="false" ht="15.75" hidden="false" customHeight="true" outlineLevel="0" collapsed="false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</row>
    <row r="54" customFormat="false" ht="15.75" hidden="false" customHeight="true" outlineLevel="0" collapsed="false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</row>
    <row r="55" customFormat="false" ht="15.75" hidden="false" customHeight="true" outlineLevel="0" collapsed="false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</row>
    <row r="56" customFormat="false" ht="15.75" hidden="false" customHeight="true" outlineLevel="0" collapsed="false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</row>
    <row r="57" customFormat="false" ht="15.75" hidden="false" customHeight="true" outlineLevel="0" collapsed="false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</row>
    <row r="58" customFormat="false" ht="15.75" hidden="false" customHeight="true" outlineLevel="0" collapsed="false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</row>
    <row r="59" customFormat="false" ht="15.75" hidden="false" customHeight="true" outlineLevel="0" collapsed="false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</row>
    <row r="60" customFormat="false" ht="15.75" hidden="false" customHeight="true" outlineLevel="0" collapsed="false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</row>
    <row r="61" customFormat="false" ht="15.75" hidden="false" customHeight="true" outlineLevel="0" collapsed="false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</row>
    <row r="62" customFormat="false" ht="15.75" hidden="false" customHeight="true" outlineLevel="0" collapsed="false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  <row r="63" customFormat="false" ht="15.75" hidden="false" customHeight="true" outlineLevel="0" collapsed="false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customFormat="false" ht="15.75" hidden="false" customHeight="true" outlineLevel="0" collapsed="false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</row>
    <row r="65" customFormat="false" ht="15.75" hidden="false" customHeight="true" outlineLevel="0" collapsed="false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</row>
    <row r="66" customFormat="false" ht="15.75" hidden="false" customHeight="true" outlineLevel="0" collapsed="false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customFormat="false" ht="15.75" hidden="false" customHeight="true" outlineLevel="0" collapsed="false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  <row r="68" customFormat="false" ht="15.75" hidden="false" customHeight="true" outlineLevel="0" collapsed="false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</row>
    <row r="69" customFormat="false" ht="15.75" hidden="false" customHeight="true" outlineLevel="0" collapsed="false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</row>
    <row r="70" customFormat="false" ht="15.75" hidden="false" customHeight="true" outlineLevel="0" collapsed="false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</row>
    <row r="71" customFormat="false" ht="15.75" hidden="false" customHeight="true" outlineLevel="0" collapsed="false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</row>
    <row r="72" customFormat="false" ht="15.75" hidden="false" customHeight="true" outlineLevel="0" collapsed="false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</row>
    <row r="73" customFormat="false" ht="15.75" hidden="false" customHeight="true" outlineLevel="0" collapsed="false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</row>
    <row r="74" customFormat="false" ht="15.75" hidden="false" customHeight="true" outlineLevel="0" collapsed="false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</row>
    <row r="75" customFormat="false" ht="15.75" hidden="false" customHeight="true" outlineLevel="0" collapsed="false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</row>
    <row r="76" customFormat="false" ht="15.75" hidden="false" customHeight="true" outlineLevel="0" collapsed="false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customFormat="false" ht="15.75" hidden="false" customHeight="true" outlineLevel="0" collapsed="false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</row>
    <row r="78" customFormat="false" ht="15.75" hidden="false" customHeight="true" outlineLevel="0" collapsed="false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</row>
    <row r="79" customFormat="false" ht="15.75" hidden="false" customHeight="true" outlineLevel="0" collapsed="false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</row>
    <row r="80" customFormat="false" ht="15.75" hidden="false" customHeight="true" outlineLevel="0" collapsed="false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</row>
    <row r="81" customFormat="false" ht="15.75" hidden="false" customHeight="true" outlineLevel="0" collapsed="false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</row>
    <row r="82" customFormat="false" ht="15.75" hidden="false" customHeight="true" outlineLevel="0" collapsed="false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</row>
    <row r="83" customFormat="false" ht="15.75" hidden="false" customHeight="true" outlineLevel="0" collapsed="false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</row>
    <row r="84" customFormat="false" ht="15.75" hidden="false" customHeight="true" outlineLevel="0" collapsed="false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</row>
    <row r="85" customFormat="false" ht="15.75" hidden="false" customHeight="true" outlineLevel="0" collapsed="false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</row>
    <row r="86" customFormat="false" ht="15.75" hidden="false" customHeight="true" outlineLevel="0" collapsed="false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</row>
    <row r="87" customFormat="false" ht="15.75" hidden="false" customHeight="true" outlineLevel="0" collapsed="false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</row>
    <row r="88" customFormat="false" ht="15.75" hidden="false" customHeight="true" outlineLevel="0" collapsed="false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</row>
    <row r="89" customFormat="false" ht="15.75" hidden="false" customHeight="true" outlineLevel="0" collapsed="false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</row>
    <row r="90" customFormat="false" ht="15.75" hidden="false" customHeight="true" outlineLevel="0" collapsed="false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</row>
    <row r="91" customFormat="false" ht="15.75" hidden="false" customHeight="true" outlineLevel="0" collapsed="false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</row>
    <row r="92" customFormat="false" ht="15.75" hidden="false" customHeight="true" outlineLevel="0" collapsed="false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</row>
    <row r="93" customFormat="false" ht="15.75" hidden="false" customHeight="true" outlineLevel="0" collapsed="false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</row>
    <row r="94" customFormat="false" ht="15.75" hidden="false" customHeight="true" outlineLevel="0" collapsed="false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</row>
    <row r="95" customFormat="false" ht="15.75" hidden="false" customHeight="true" outlineLevel="0" collapsed="false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</row>
    <row r="96" customFormat="false" ht="15.75" hidden="false" customHeight="true" outlineLevel="0" collapsed="false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</row>
    <row r="97" customFormat="false" ht="15.75" hidden="false" customHeight="true" outlineLevel="0" collapsed="false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customFormat="false" ht="15.75" hidden="false" customHeight="true" outlineLevel="0" collapsed="false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customFormat="false" ht="15.75" hidden="false" customHeight="true" outlineLevel="0" collapsed="false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</row>
    <row r="100" customFormat="false" ht="15.75" hidden="false" customHeight="true" outlineLevel="0" collapsed="false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</row>
    <row r="101" customFormat="false" ht="15.75" hidden="false" customHeight="true" outlineLevel="0" collapsed="false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</row>
    <row r="102" customFormat="false" ht="15.75" hidden="false" customHeight="true" outlineLevel="0" collapsed="false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</row>
    <row r="103" customFormat="false" ht="15.75" hidden="false" customHeight="true" outlineLevel="0" collapsed="false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</row>
    <row r="104" customFormat="false" ht="15.75" hidden="false" customHeight="true" outlineLevel="0" collapsed="false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</row>
    <row r="105" customFormat="false" ht="15.75" hidden="false" customHeight="true" outlineLevel="0" collapsed="false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</row>
    <row r="106" customFormat="false" ht="15.75" hidden="false" customHeight="true" outlineLevel="0" collapsed="false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</row>
    <row r="107" customFormat="false" ht="15.75" hidden="false" customHeight="true" outlineLevel="0" collapsed="false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</row>
    <row r="108" customFormat="false" ht="15.75" hidden="false" customHeight="true" outlineLevel="0" collapsed="false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</row>
    <row r="109" customFormat="false" ht="15.75" hidden="false" customHeight="true" outlineLevel="0" collapsed="false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</row>
    <row r="110" customFormat="false" ht="15.75" hidden="false" customHeight="true" outlineLevel="0" collapsed="false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</row>
    <row r="111" customFormat="false" ht="15.75" hidden="false" customHeight="true" outlineLevel="0" collapsed="false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</row>
    <row r="112" customFormat="false" ht="15.75" hidden="false" customHeight="true" outlineLevel="0" collapsed="false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</row>
    <row r="113" customFormat="false" ht="15.75" hidden="false" customHeight="true" outlineLevel="0" collapsed="false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</row>
    <row r="114" customFormat="false" ht="15.75" hidden="false" customHeight="true" outlineLevel="0" collapsed="false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</row>
    <row r="115" customFormat="false" ht="15.75" hidden="false" customHeight="true" outlineLevel="0" collapsed="false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</row>
    <row r="116" customFormat="false" ht="15.75" hidden="false" customHeight="true" outlineLevel="0" collapsed="false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</row>
    <row r="117" customFormat="false" ht="15.75" hidden="false" customHeight="true" outlineLevel="0" collapsed="false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</row>
    <row r="118" customFormat="false" ht="15.75" hidden="false" customHeight="true" outlineLevel="0" collapsed="false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</row>
    <row r="119" customFormat="false" ht="15.75" hidden="false" customHeight="true" outlineLevel="0" collapsed="false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</row>
    <row r="120" customFormat="false" ht="15.75" hidden="false" customHeight="true" outlineLevel="0" collapsed="false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</row>
    <row r="121" customFormat="false" ht="15.75" hidden="false" customHeight="true" outlineLevel="0" collapsed="false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</row>
    <row r="122" customFormat="false" ht="15.75" hidden="false" customHeight="true" outlineLevel="0" collapsed="false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</row>
    <row r="123" customFormat="false" ht="15.75" hidden="false" customHeight="true" outlineLevel="0" collapsed="false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</row>
    <row r="124" customFormat="false" ht="15.75" hidden="false" customHeight="true" outlineLevel="0" collapsed="false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</row>
    <row r="125" customFormat="false" ht="15.75" hidden="false" customHeight="true" outlineLevel="0" collapsed="false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</row>
    <row r="126" customFormat="false" ht="15.75" hidden="false" customHeight="true" outlineLevel="0" collapsed="false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</row>
    <row r="127" customFormat="false" ht="15.75" hidden="false" customHeight="true" outlineLevel="0" collapsed="false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</row>
    <row r="128" customFormat="false" ht="15.75" hidden="false" customHeight="true" outlineLevel="0" collapsed="false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</row>
    <row r="129" customFormat="false" ht="15.75" hidden="false" customHeight="true" outlineLevel="0" collapsed="false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</row>
    <row r="130" customFormat="false" ht="15.75" hidden="false" customHeight="true" outlineLevel="0" collapsed="false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</row>
    <row r="131" customFormat="false" ht="15.75" hidden="false" customHeight="true" outlineLevel="0" collapsed="false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</row>
    <row r="132" customFormat="false" ht="15.75" hidden="false" customHeight="true" outlineLevel="0" collapsed="false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</row>
    <row r="133" customFormat="false" ht="15.75" hidden="false" customHeight="true" outlineLevel="0" collapsed="false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</row>
    <row r="134" customFormat="false" ht="15.75" hidden="false" customHeight="true" outlineLevel="0" collapsed="false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</row>
    <row r="135" customFormat="false" ht="15.75" hidden="false" customHeight="true" outlineLevel="0" collapsed="false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</row>
    <row r="136" customFormat="false" ht="15.75" hidden="false" customHeight="true" outlineLevel="0" collapsed="false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</row>
    <row r="137" customFormat="false" ht="15.75" hidden="false" customHeight="true" outlineLevel="0" collapsed="false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</row>
    <row r="138" customFormat="false" ht="15.75" hidden="false" customHeight="true" outlineLevel="0" collapsed="false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</row>
    <row r="139" customFormat="false" ht="15.75" hidden="false" customHeight="true" outlineLevel="0" collapsed="false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</row>
    <row r="140" customFormat="false" ht="15.75" hidden="false" customHeight="true" outlineLevel="0" collapsed="false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</row>
    <row r="141" customFormat="false" ht="15.75" hidden="false" customHeight="true" outlineLevel="0" collapsed="false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</row>
    <row r="142" customFormat="false" ht="15.75" hidden="false" customHeight="true" outlineLevel="0" collapsed="false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</row>
    <row r="143" customFormat="false" ht="15.75" hidden="false" customHeight="true" outlineLevel="0" collapsed="false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</row>
    <row r="144" customFormat="false" ht="15.75" hidden="false" customHeight="true" outlineLevel="0" collapsed="false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</row>
    <row r="145" customFormat="false" ht="15.75" hidden="false" customHeight="true" outlineLevel="0" collapsed="false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</row>
    <row r="146" customFormat="false" ht="15.75" hidden="false" customHeight="true" outlineLevel="0" collapsed="false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</row>
    <row r="147" customFormat="false" ht="15.75" hidden="false" customHeight="true" outlineLevel="0" collapsed="false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</row>
    <row r="148" customFormat="false" ht="15.75" hidden="false" customHeight="true" outlineLevel="0" collapsed="false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</row>
    <row r="149" customFormat="false" ht="15.75" hidden="false" customHeight="true" outlineLevel="0" collapsed="false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</row>
    <row r="150" customFormat="false" ht="15.75" hidden="false" customHeight="true" outlineLevel="0" collapsed="false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</row>
    <row r="151" customFormat="false" ht="15.75" hidden="false" customHeight="true" outlineLevel="0" collapsed="false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</row>
    <row r="152" customFormat="false" ht="15.75" hidden="false" customHeight="true" outlineLevel="0" collapsed="false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</row>
    <row r="153" customFormat="false" ht="15.75" hidden="false" customHeight="true" outlineLevel="0" collapsed="false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</row>
    <row r="154" customFormat="false" ht="15.75" hidden="false" customHeight="true" outlineLevel="0" collapsed="false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</row>
    <row r="155" customFormat="false" ht="15.75" hidden="false" customHeight="true" outlineLevel="0" collapsed="false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</row>
    <row r="156" customFormat="false" ht="15.75" hidden="false" customHeight="true" outlineLevel="0" collapsed="false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</row>
    <row r="157" customFormat="false" ht="15.75" hidden="false" customHeight="true" outlineLevel="0" collapsed="false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</row>
    <row r="158" customFormat="false" ht="15.75" hidden="false" customHeight="true" outlineLevel="0" collapsed="false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</row>
    <row r="159" customFormat="false" ht="15.75" hidden="false" customHeight="true" outlineLevel="0" collapsed="false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</row>
    <row r="160" customFormat="false" ht="15.75" hidden="false" customHeight="true" outlineLevel="0" collapsed="false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</row>
    <row r="161" customFormat="false" ht="15.75" hidden="false" customHeight="true" outlineLevel="0" collapsed="false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</row>
    <row r="162" customFormat="false" ht="15.75" hidden="false" customHeight="true" outlineLevel="0" collapsed="false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</row>
    <row r="163" customFormat="false" ht="15.75" hidden="false" customHeight="true" outlineLevel="0" collapsed="false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</row>
    <row r="164" customFormat="false" ht="15.75" hidden="false" customHeight="true" outlineLevel="0" collapsed="false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</row>
    <row r="165" customFormat="false" ht="15.75" hidden="false" customHeight="true" outlineLevel="0" collapsed="false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</row>
    <row r="166" customFormat="false" ht="15.75" hidden="false" customHeight="true" outlineLevel="0" collapsed="false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</row>
    <row r="167" customFormat="false" ht="15.75" hidden="false" customHeight="true" outlineLevel="0" collapsed="false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</row>
    <row r="168" customFormat="false" ht="15.75" hidden="false" customHeight="true" outlineLevel="0" collapsed="false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</row>
    <row r="169" customFormat="false" ht="15.75" hidden="false" customHeight="true" outlineLevel="0" collapsed="false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</row>
    <row r="170" customFormat="false" ht="15.75" hidden="false" customHeight="true" outlineLevel="0" collapsed="false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</row>
    <row r="171" customFormat="false" ht="15.75" hidden="false" customHeight="true" outlineLevel="0" collapsed="false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</row>
    <row r="172" customFormat="false" ht="15.75" hidden="false" customHeight="true" outlineLevel="0" collapsed="false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</row>
    <row r="173" customFormat="false" ht="15.75" hidden="false" customHeight="true" outlineLevel="0" collapsed="false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</row>
    <row r="174" customFormat="false" ht="15.75" hidden="false" customHeight="true" outlineLevel="0" collapsed="false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</row>
    <row r="175" customFormat="false" ht="15.75" hidden="false" customHeight="true" outlineLevel="0" collapsed="false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</row>
    <row r="176" customFormat="false" ht="15.75" hidden="false" customHeight="true" outlineLevel="0" collapsed="false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</row>
    <row r="177" customFormat="false" ht="15.75" hidden="false" customHeight="true" outlineLevel="0" collapsed="false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</row>
    <row r="178" customFormat="false" ht="15.75" hidden="false" customHeight="true" outlineLevel="0" collapsed="false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</row>
    <row r="179" customFormat="false" ht="15.75" hidden="false" customHeight="true" outlineLevel="0" collapsed="false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</row>
    <row r="180" customFormat="false" ht="15.75" hidden="false" customHeight="true" outlineLevel="0" collapsed="false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</row>
    <row r="181" customFormat="false" ht="15.75" hidden="false" customHeight="true" outlineLevel="0" collapsed="false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</row>
    <row r="182" customFormat="false" ht="15.75" hidden="false" customHeight="true" outlineLevel="0" collapsed="false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</row>
    <row r="183" customFormat="false" ht="15.75" hidden="false" customHeight="true" outlineLevel="0" collapsed="false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</row>
    <row r="184" customFormat="false" ht="15.75" hidden="false" customHeight="true" outlineLevel="0" collapsed="false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</row>
    <row r="185" customFormat="false" ht="15.75" hidden="false" customHeight="true" outlineLevel="0" collapsed="false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</row>
    <row r="186" customFormat="false" ht="15.75" hidden="false" customHeight="true" outlineLevel="0" collapsed="false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</row>
    <row r="187" customFormat="false" ht="15.75" hidden="false" customHeight="true" outlineLevel="0" collapsed="false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</row>
    <row r="188" customFormat="false" ht="15.75" hidden="false" customHeight="true" outlineLevel="0" collapsed="false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</row>
    <row r="189" customFormat="false" ht="15.75" hidden="false" customHeight="true" outlineLevel="0" collapsed="false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</row>
    <row r="190" customFormat="false" ht="15.75" hidden="false" customHeight="true" outlineLevel="0" collapsed="false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</row>
    <row r="191" customFormat="false" ht="15.75" hidden="false" customHeight="true" outlineLevel="0" collapsed="false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</row>
    <row r="192" customFormat="false" ht="15.75" hidden="false" customHeight="true" outlineLevel="0" collapsed="false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</row>
    <row r="193" customFormat="false" ht="15.75" hidden="false" customHeight="true" outlineLevel="0" collapsed="false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</row>
    <row r="194" customFormat="false" ht="15.75" hidden="false" customHeight="true" outlineLevel="0" collapsed="false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</row>
    <row r="195" customFormat="false" ht="15.75" hidden="false" customHeight="true" outlineLevel="0" collapsed="false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</row>
    <row r="196" customFormat="false" ht="15.75" hidden="false" customHeight="true" outlineLevel="0" collapsed="false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</row>
    <row r="197" customFormat="false" ht="15.75" hidden="false" customHeight="true" outlineLevel="0" collapsed="false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</row>
    <row r="198" customFormat="false" ht="15.75" hidden="false" customHeight="true" outlineLevel="0" collapsed="false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</row>
    <row r="199" customFormat="false" ht="15.75" hidden="false" customHeight="true" outlineLevel="0" collapsed="false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</row>
    <row r="200" customFormat="false" ht="15.75" hidden="false" customHeight="true" outlineLevel="0" collapsed="false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</row>
    <row r="201" customFormat="false" ht="15.75" hidden="false" customHeight="true" outlineLevel="0" collapsed="false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</row>
    <row r="202" customFormat="false" ht="15.75" hidden="false" customHeight="true" outlineLevel="0" collapsed="false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</row>
    <row r="203" customFormat="false" ht="15.75" hidden="false" customHeight="true" outlineLevel="0" collapsed="false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</row>
    <row r="204" customFormat="false" ht="15.75" hidden="false" customHeight="true" outlineLevel="0" collapsed="false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</row>
    <row r="205" customFormat="false" ht="15.75" hidden="false" customHeight="true" outlineLevel="0" collapsed="false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</row>
    <row r="206" customFormat="false" ht="15.75" hidden="false" customHeight="true" outlineLevel="0" collapsed="false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</row>
    <row r="207" customFormat="false" ht="15.75" hidden="false" customHeight="true" outlineLevel="0" collapsed="false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</row>
    <row r="208" customFormat="false" ht="15.75" hidden="false" customHeight="true" outlineLevel="0" collapsed="false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</row>
    <row r="209" customFormat="false" ht="15.75" hidden="false" customHeight="true" outlineLevel="0" collapsed="false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</row>
    <row r="210" customFormat="false" ht="15.75" hidden="false" customHeight="true" outlineLevel="0" collapsed="false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</row>
    <row r="211" customFormat="false" ht="15.75" hidden="false" customHeight="true" outlineLevel="0" collapsed="false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</row>
    <row r="212" customFormat="false" ht="15.75" hidden="false" customHeight="true" outlineLevel="0" collapsed="false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</row>
    <row r="213" customFormat="false" ht="15.75" hidden="false" customHeight="true" outlineLevel="0" collapsed="false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</row>
    <row r="214" customFormat="false" ht="15.75" hidden="false" customHeight="true" outlineLevel="0" collapsed="false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</row>
    <row r="215" customFormat="false" ht="15.75" hidden="false" customHeight="true" outlineLevel="0" collapsed="false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</row>
    <row r="216" customFormat="false" ht="15.75" hidden="false" customHeight="true" outlineLevel="0" collapsed="false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</row>
    <row r="217" customFormat="false" ht="15.75" hidden="false" customHeight="true" outlineLevel="0" collapsed="false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</row>
    <row r="218" customFormat="false" ht="15.75" hidden="false" customHeight="true" outlineLevel="0" collapsed="false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</row>
    <row r="219" customFormat="false" ht="15.75" hidden="false" customHeight="true" outlineLevel="0" collapsed="false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</row>
    <row r="220" customFormat="false" ht="15.75" hidden="false" customHeight="true" outlineLevel="0" collapsed="false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</row>
    <row r="221" customFormat="false" ht="15.75" hidden="false" customHeight="true" outlineLevel="0" collapsed="false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</row>
    <row r="222" customFormat="false" ht="15.75" hidden="false" customHeight="true" outlineLevel="0" collapsed="false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</row>
    <row r="223" customFormat="false" ht="15.75" hidden="false" customHeight="true" outlineLevel="0" collapsed="false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</row>
    <row r="224" customFormat="false" ht="15.75" hidden="false" customHeight="true" outlineLevel="0" collapsed="false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</row>
    <row r="225" customFormat="false" ht="15.75" hidden="false" customHeight="true" outlineLevel="0" collapsed="false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</row>
    <row r="226" customFormat="false" ht="15.75" hidden="false" customHeight="true" outlineLevel="0" collapsed="false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</row>
    <row r="227" customFormat="false" ht="15.75" hidden="false" customHeight="true" outlineLevel="0" collapsed="false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</row>
    <row r="228" customFormat="false" ht="15.75" hidden="false" customHeight="true" outlineLevel="0" collapsed="false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</row>
    <row r="229" customFormat="false" ht="15.75" hidden="false" customHeight="true" outlineLevel="0" collapsed="false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</row>
    <row r="230" customFormat="false" ht="15.75" hidden="false" customHeight="true" outlineLevel="0" collapsed="false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</row>
    <row r="231" customFormat="false" ht="15.75" hidden="false" customHeight="true" outlineLevel="0" collapsed="false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</row>
    <row r="232" customFormat="false" ht="15.75" hidden="false" customHeight="true" outlineLevel="0" collapsed="false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</row>
    <row r="233" customFormat="false" ht="15.75" hidden="false" customHeight="true" outlineLevel="0" collapsed="false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</row>
    <row r="234" customFormat="false" ht="15.75" hidden="false" customHeight="true" outlineLevel="0" collapsed="false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</row>
    <row r="235" customFormat="false" ht="15.75" hidden="false" customHeight="true" outlineLevel="0" collapsed="false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</row>
    <row r="236" customFormat="false" ht="15.75" hidden="false" customHeight="true" outlineLevel="0" collapsed="false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</row>
    <row r="237" customFormat="false" ht="15.75" hidden="false" customHeight="true" outlineLevel="0" collapsed="false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</row>
    <row r="238" customFormat="false" ht="15.75" hidden="false" customHeight="true" outlineLevel="0" collapsed="false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</row>
    <row r="239" customFormat="false" ht="15.75" hidden="false" customHeight="true" outlineLevel="0" collapsed="false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</row>
    <row r="240" customFormat="false" ht="15.75" hidden="false" customHeight="true" outlineLevel="0" collapsed="false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</row>
    <row r="241" customFormat="false" ht="15.75" hidden="false" customHeight="true" outlineLevel="0" collapsed="false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</row>
    <row r="242" customFormat="false" ht="15.75" hidden="false" customHeight="true" outlineLevel="0" collapsed="false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</row>
    <row r="243" customFormat="false" ht="15.75" hidden="false" customHeight="true" outlineLevel="0" collapsed="false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</row>
    <row r="244" customFormat="false" ht="15.75" hidden="false" customHeight="true" outlineLevel="0" collapsed="false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</row>
    <row r="245" customFormat="false" ht="15.75" hidden="false" customHeight="true" outlineLevel="0" collapsed="false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</row>
    <row r="246" customFormat="false" ht="15.75" hidden="false" customHeight="true" outlineLevel="0" collapsed="false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</row>
    <row r="247" customFormat="false" ht="15.75" hidden="false" customHeight="true" outlineLevel="0" collapsed="false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</row>
    <row r="248" customFormat="false" ht="15.75" hidden="false" customHeight="true" outlineLevel="0" collapsed="false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</row>
    <row r="249" customFormat="false" ht="15.75" hidden="false" customHeight="true" outlineLevel="0" collapsed="false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</row>
    <row r="250" customFormat="false" ht="15.75" hidden="false" customHeight="true" outlineLevel="0" collapsed="false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</row>
    <row r="251" customFormat="false" ht="15.75" hidden="false" customHeight="true" outlineLevel="0" collapsed="false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</row>
    <row r="252" customFormat="false" ht="15.75" hidden="false" customHeight="true" outlineLevel="0" collapsed="false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</row>
    <row r="253" customFormat="false" ht="15.75" hidden="false" customHeight="true" outlineLevel="0" collapsed="false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</row>
    <row r="254" customFormat="false" ht="15.75" hidden="false" customHeight="true" outlineLevel="0" collapsed="false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</row>
    <row r="255" customFormat="false" ht="15.75" hidden="false" customHeight="true" outlineLevel="0" collapsed="false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</row>
    <row r="256" customFormat="false" ht="15.75" hidden="false" customHeight="true" outlineLevel="0" collapsed="false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</row>
    <row r="257" customFormat="false" ht="15.75" hidden="false" customHeight="true" outlineLevel="0" collapsed="false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</row>
    <row r="258" customFormat="false" ht="15.75" hidden="false" customHeight="true" outlineLevel="0" collapsed="false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</row>
    <row r="259" customFormat="false" ht="15.75" hidden="false" customHeight="true" outlineLevel="0" collapsed="false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</row>
    <row r="260" customFormat="false" ht="15.75" hidden="false" customHeight="true" outlineLevel="0" collapsed="false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</row>
    <row r="261" customFormat="false" ht="15.75" hidden="false" customHeight="true" outlineLevel="0" collapsed="false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</row>
    <row r="262" customFormat="false" ht="15.75" hidden="false" customHeight="true" outlineLevel="0" collapsed="false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</row>
    <row r="263" customFormat="false" ht="15.75" hidden="false" customHeight="true" outlineLevel="0" collapsed="false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</row>
    <row r="264" customFormat="false" ht="15.75" hidden="false" customHeight="true" outlineLevel="0" collapsed="false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</row>
    <row r="265" customFormat="false" ht="15.75" hidden="false" customHeight="true" outlineLevel="0" collapsed="false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</row>
    <row r="266" customFormat="false" ht="15.75" hidden="false" customHeight="true" outlineLevel="0" collapsed="false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</row>
    <row r="267" customFormat="false" ht="15.75" hidden="false" customHeight="true" outlineLevel="0" collapsed="false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</row>
    <row r="268" customFormat="false" ht="15.75" hidden="false" customHeight="true" outlineLevel="0" collapsed="false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</row>
    <row r="269" customFormat="false" ht="15.75" hidden="false" customHeight="true" outlineLevel="0" collapsed="false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</row>
    <row r="270" customFormat="false" ht="15.75" hidden="false" customHeight="true" outlineLevel="0" collapsed="false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</row>
    <row r="271" customFormat="false" ht="15.75" hidden="false" customHeight="true" outlineLevel="0" collapsed="false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</row>
    <row r="272" customFormat="false" ht="15.75" hidden="false" customHeight="true" outlineLevel="0" collapsed="false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</row>
    <row r="273" customFormat="false" ht="15.75" hidden="false" customHeight="true" outlineLevel="0" collapsed="false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</row>
    <row r="274" customFormat="false" ht="15.75" hidden="false" customHeight="true" outlineLevel="0" collapsed="false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</row>
    <row r="275" customFormat="false" ht="15.75" hidden="false" customHeight="true" outlineLevel="0" collapsed="false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</row>
    <row r="276" customFormat="false" ht="15.75" hidden="false" customHeight="true" outlineLevel="0" collapsed="false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</row>
    <row r="277" customFormat="false" ht="15.75" hidden="false" customHeight="true" outlineLevel="0" collapsed="false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</row>
    <row r="278" customFormat="false" ht="15.75" hidden="false" customHeight="true" outlineLevel="0" collapsed="false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</row>
    <row r="279" customFormat="false" ht="15.75" hidden="false" customHeight="true" outlineLevel="0" collapsed="false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</row>
    <row r="280" customFormat="false" ht="15.75" hidden="false" customHeight="true" outlineLevel="0" collapsed="false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</row>
    <row r="281" customFormat="false" ht="15.75" hidden="false" customHeight="true" outlineLevel="0" collapsed="false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</row>
    <row r="282" customFormat="false" ht="15.75" hidden="false" customHeight="true" outlineLevel="0" collapsed="false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</row>
    <row r="283" customFormat="false" ht="15.75" hidden="false" customHeight="true" outlineLevel="0" collapsed="false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</row>
    <row r="284" customFormat="false" ht="15.75" hidden="false" customHeight="true" outlineLevel="0" collapsed="false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</row>
    <row r="285" customFormat="false" ht="15.75" hidden="false" customHeight="true" outlineLevel="0" collapsed="false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</row>
    <row r="286" customFormat="false" ht="15.75" hidden="false" customHeight="true" outlineLevel="0" collapsed="false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</row>
    <row r="287" customFormat="false" ht="15.75" hidden="false" customHeight="true" outlineLevel="0" collapsed="false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</row>
    <row r="288" customFormat="false" ht="15.75" hidden="false" customHeight="true" outlineLevel="0" collapsed="false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</row>
    <row r="289" customFormat="false" ht="15.75" hidden="false" customHeight="true" outlineLevel="0" collapsed="false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</row>
    <row r="290" customFormat="false" ht="15.75" hidden="false" customHeight="true" outlineLevel="0" collapsed="false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</row>
    <row r="291" customFormat="false" ht="15.75" hidden="false" customHeight="true" outlineLevel="0" collapsed="false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</row>
    <row r="292" customFormat="false" ht="15.75" hidden="false" customHeight="true" outlineLevel="0" collapsed="false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</row>
    <row r="293" customFormat="false" ht="15.75" hidden="false" customHeight="true" outlineLevel="0" collapsed="false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</row>
    <row r="294" customFormat="false" ht="15.75" hidden="false" customHeight="true" outlineLevel="0" collapsed="false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</row>
    <row r="295" customFormat="false" ht="15.75" hidden="false" customHeight="true" outlineLevel="0" collapsed="false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</row>
    <row r="296" customFormat="false" ht="15.75" hidden="false" customHeight="true" outlineLevel="0" collapsed="false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</row>
    <row r="297" customFormat="false" ht="15.75" hidden="false" customHeight="true" outlineLevel="0" collapsed="false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</row>
    <row r="298" customFormat="false" ht="15.75" hidden="false" customHeight="true" outlineLevel="0" collapsed="false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</row>
    <row r="299" customFormat="false" ht="15.75" hidden="false" customHeight="true" outlineLevel="0" collapsed="false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</row>
    <row r="300" customFormat="false" ht="15.75" hidden="false" customHeight="true" outlineLevel="0" collapsed="false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</row>
    <row r="301" customFormat="false" ht="15.75" hidden="false" customHeight="true" outlineLevel="0" collapsed="false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</row>
    <row r="302" customFormat="false" ht="15.75" hidden="false" customHeight="true" outlineLevel="0" collapsed="false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</row>
    <row r="303" customFormat="false" ht="15.75" hidden="false" customHeight="true" outlineLevel="0" collapsed="false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</row>
    <row r="304" customFormat="false" ht="15.75" hidden="false" customHeight="true" outlineLevel="0" collapsed="false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</row>
    <row r="305" customFormat="false" ht="15.75" hidden="false" customHeight="true" outlineLevel="0" collapsed="false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</row>
    <row r="306" customFormat="false" ht="15.75" hidden="false" customHeight="true" outlineLevel="0" collapsed="false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</row>
    <row r="307" customFormat="false" ht="15.75" hidden="false" customHeight="true" outlineLevel="0" collapsed="false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</row>
    <row r="308" customFormat="false" ht="15.75" hidden="false" customHeight="true" outlineLevel="0" collapsed="false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</row>
    <row r="309" customFormat="false" ht="15.75" hidden="false" customHeight="true" outlineLevel="0" collapsed="false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</row>
    <row r="310" customFormat="false" ht="15.75" hidden="false" customHeight="true" outlineLevel="0" collapsed="false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</row>
    <row r="311" customFormat="false" ht="15.75" hidden="false" customHeight="true" outlineLevel="0" collapsed="false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</row>
    <row r="312" customFormat="false" ht="15.75" hidden="false" customHeight="true" outlineLevel="0" collapsed="false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</row>
    <row r="313" customFormat="false" ht="15.75" hidden="false" customHeight="true" outlineLevel="0" collapsed="false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</row>
    <row r="314" customFormat="false" ht="15.75" hidden="false" customHeight="true" outlineLevel="0" collapsed="false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</row>
    <row r="315" customFormat="false" ht="15.75" hidden="false" customHeight="true" outlineLevel="0" collapsed="false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</row>
    <row r="316" customFormat="false" ht="15.75" hidden="false" customHeight="true" outlineLevel="0" collapsed="false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</row>
    <row r="317" customFormat="false" ht="15.75" hidden="false" customHeight="true" outlineLevel="0" collapsed="false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</row>
    <row r="318" customFormat="false" ht="15.75" hidden="false" customHeight="true" outlineLevel="0" collapsed="false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</row>
    <row r="319" customFormat="false" ht="15.75" hidden="false" customHeight="true" outlineLevel="0" collapsed="false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</row>
    <row r="320" customFormat="false" ht="15.75" hidden="false" customHeight="true" outlineLevel="0" collapsed="false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</row>
    <row r="321" customFormat="false" ht="15.75" hidden="false" customHeight="true" outlineLevel="0" collapsed="false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</row>
    <row r="322" customFormat="false" ht="15.75" hidden="false" customHeight="true" outlineLevel="0" collapsed="false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</row>
    <row r="323" customFormat="false" ht="15.75" hidden="false" customHeight="true" outlineLevel="0" collapsed="false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</row>
    <row r="324" customFormat="false" ht="15.75" hidden="false" customHeight="true" outlineLevel="0" collapsed="false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</row>
    <row r="325" customFormat="false" ht="15.75" hidden="false" customHeight="true" outlineLevel="0" collapsed="false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</row>
    <row r="326" customFormat="false" ht="15.75" hidden="false" customHeight="true" outlineLevel="0" collapsed="false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</row>
    <row r="327" customFormat="false" ht="15.75" hidden="false" customHeight="true" outlineLevel="0" collapsed="false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</row>
    <row r="328" customFormat="false" ht="15.75" hidden="false" customHeight="true" outlineLevel="0" collapsed="false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</row>
    <row r="329" customFormat="false" ht="15.75" hidden="false" customHeight="true" outlineLevel="0" collapsed="false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</row>
    <row r="330" customFormat="false" ht="15.75" hidden="false" customHeight="true" outlineLevel="0" collapsed="false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</row>
    <row r="331" customFormat="false" ht="15.75" hidden="false" customHeight="true" outlineLevel="0" collapsed="false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</row>
    <row r="332" customFormat="false" ht="15.75" hidden="false" customHeight="true" outlineLevel="0" collapsed="false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</row>
    <row r="333" customFormat="false" ht="15.75" hidden="false" customHeight="true" outlineLevel="0" collapsed="false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</row>
    <row r="334" customFormat="false" ht="15.75" hidden="false" customHeight="true" outlineLevel="0" collapsed="false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</row>
    <row r="335" customFormat="false" ht="15.75" hidden="false" customHeight="true" outlineLevel="0" collapsed="false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</row>
    <row r="336" customFormat="false" ht="15.75" hidden="false" customHeight="true" outlineLevel="0" collapsed="false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</row>
    <row r="337" customFormat="false" ht="15.75" hidden="false" customHeight="true" outlineLevel="0" collapsed="false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</row>
    <row r="338" customFormat="false" ht="15.75" hidden="false" customHeight="true" outlineLevel="0" collapsed="false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</row>
    <row r="339" customFormat="false" ht="15.75" hidden="false" customHeight="true" outlineLevel="0" collapsed="false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</row>
    <row r="340" customFormat="false" ht="15.75" hidden="false" customHeight="true" outlineLevel="0" collapsed="false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</row>
    <row r="341" customFormat="false" ht="15.75" hidden="false" customHeight="true" outlineLevel="0" collapsed="false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</row>
    <row r="342" customFormat="false" ht="15.75" hidden="false" customHeight="true" outlineLevel="0" collapsed="false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</row>
    <row r="343" customFormat="false" ht="15.75" hidden="false" customHeight="true" outlineLevel="0" collapsed="false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</row>
    <row r="344" customFormat="false" ht="15.75" hidden="false" customHeight="true" outlineLevel="0" collapsed="false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</row>
    <row r="345" customFormat="false" ht="15.75" hidden="false" customHeight="true" outlineLevel="0" collapsed="false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</row>
    <row r="346" customFormat="false" ht="15.75" hidden="false" customHeight="true" outlineLevel="0" collapsed="false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</row>
    <row r="347" customFormat="false" ht="15.75" hidden="false" customHeight="true" outlineLevel="0" collapsed="false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</row>
    <row r="348" customFormat="false" ht="15.75" hidden="false" customHeight="true" outlineLevel="0" collapsed="false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</row>
    <row r="349" customFormat="false" ht="15.75" hidden="false" customHeight="true" outlineLevel="0" collapsed="false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</row>
    <row r="350" customFormat="false" ht="15.75" hidden="false" customHeight="true" outlineLevel="0" collapsed="false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</row>
    <row r="351" customFormat="false" ht="15.75" hidden="false" customHeight="true" outlineLevel="0" collapsed="false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</row>
    <row r="352" customFormat="false" ht="15.75" hidden="false" customHeight="true" outlineLevel="0" collapsed="false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</row>
    <row r="353" customFormat="false" ht="15.75" hidden="false" customHeight="true" outlineLevel="0" collapsed="false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</row>
    <row r="354" customFormat="false" ht="15.75" hidden="false" customHeight="true" outlineLevel="0" collapsed="false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</row>
    <row r="355" customFormat="false" ht="15.75" hidden="false" customHeight="true" outlineLevel="0" collapsed="false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</row>
    <row r="356" customFormat="false" ht="15.75" hidden="false" customHeight="true" outlineLevel="0" collapsed="false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</row>
    <row r="357" customFormat="false" ht="15.75" hidden="false" customHeight="true" outlineLevel="0" collapsed="false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</row>
    <row r="358" customFormat="false" ht="15.75" hidden="false" customHeight="true" outlineLevel="0" collapsed="false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</row>
    <row r="359" customFormat="false" ht="15.75" hidden="false" customHeight="true" outlineLevel="0" collapsed="false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</row>
    <row r="360" customFormat="false" ht="15.75" hidden="false" customHeight="true" outlineLevel="0" collapsed="false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</row>
    <row r="361" customFormat="false" ht="15.75" hidden="false" customHeight="true" outlineLevel="0" collapsed="false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</row>
    <row r="362" customFormat="false" ht="15.75" hidden="false" customHeight="true" outlineLevel="0" collapsed="false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</row>
    <row r="363" customFormat="false" ht="15.75" hidden="false" customHeight="true" outlineLevel="0" collapsed="false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</row>
    <row r="364" customFormat="false" ht="15.75" hidden="false" customHeight="true" outlineLevel="0" collapsed="false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</row>
    <row r="365" customFormat="false" ht="15.75" hidden="false" customHeight="true" outlineLevel="0" collapsed="false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</row>
    <row r="366" customFormat="false" ht="15.75" hidden="false" customHeight="true" outlineLevel="0" collapsed="false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</row>
    <row r="367" customFormat="false" ht="15.75" hidden="false" customHeight="true" outlineLevel="0" collapsed="false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</row>
    <row r="368" customFormat="false" ht="15.75" hidden="false" customHeight="true" outlineLevel="0" collapsed="false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</row>
    <row r="369" customFormat="false" ht="15.75" hidden="false" customHeight="true" outlineLevel="0" collapsed="false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</row>
    <row r="370" customFormat="false" ht="15.75" hidden="false" customHeight="true" outlineLevel="0" collapsed="false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</row>
    <row r="371" customFormat="false" ht="15.75" hidden="false" customHeight="true" outlineLevel="0" collapsed="false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</row>
    <row r="372" customFormat="false" ht="15.75" hidden="false" customHeight="true" outlineLevel="0" collapsed="false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</row>
    <row r="373" customFormat="false" ht="15.75" hidden="false" customHeight="true" outlineLevel="0" collapsed="false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</row>
    <row r="374" customFormat="false" ht="15.75" hidden="false" customHeight="true" outlineLevel="0" collapsed="false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</row>
    <row r="375" customFormat="false" ht="15.75" hidden="false" customHeight="true" outlineLevel="0" collapsed="false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</row>
    <row r="376" customFormat="false" ht="15.75" hidden="false" customHeight="true" outlineLevel="0" collapsed="false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</row>
    <row r="377" customFormat="false" ht="15.75" hidden="false" customHeight="true" outlineLevel="0" collapsed="false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</row>
    <row r="378" customFormat="false" ht="15.75" hidden="false" customHeight="true" outlineLevel="0" collapsed="false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</row>
    <row r="379" customFormat="false" ht="15.75" hidden="false" customHeight="true" outlineLevel="0" collapsed="false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</row>
    <row r="380" customFormat="false" ht="15.75" hidden="false" customHeight="true" outlineLevel="0" collapsed="false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</row>
    <row r="381" customFormat="false" ht="15.75" hidden="false" customHeight="true" outlineLevel="0" collapsed="false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</row>
    <row r="382" customFormat="false" ht="15.75" hidden="false" customHeight="true" outlineLevel="0" collapsed="false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</row>
    <row r="383" customFormat="false" ht="15.75" hidden="false" customHeight="true" outlineLevel="0" collapsed="false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</row>
    <row r="384" customFormat="false" ht="15.75" hidden="false" customHeight="true" outlineLevel="0" collapsed="false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</row>
    <row r="385" customFormat="false" ht="15.75" hidden="false" customHeight="true" outlineLevel="0" collapsed="false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</row>
    <row r="386" customFormat="false" ht="15.75" hidden="false" customHeight="true" outlineLevel="0" collapsed="false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</row>
    <row r="387" customFormat="false" ht="15.75" hidden="false" customHeight="true" outlineLevel="0" collapsed="false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</row>
    <row r="388" customFormat="false" ht="15.75" hidden="false" customHeight="true" outlineLevel="0" collapsed="false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</row>
    <row r="389" customFormat="false" ht="15.75" hidden="false" customHeight="true" outlineLevel="0" collapsed="false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</row>
    <row r="390" customFormat="false" ht="15.75" hidden="false" customHeight="true" outlineLevel="0" collapsed="false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</row>
    <row r="391" customFormat="false" ht="15.75" hidden="false" customHeight="true" outlineLevel="0" collapsed="false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</row>
    <row r="392" customFormat="false" ht="15.75" hidden="false" customHeight="true" outlineLevel="0" collapsed="false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</row>
    <row r="393" customFormat="false" ht="15.75" hidden="false" customHeight="true" outlineLevel="0" collapsed="false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</row>
    <row r="394" customFormat="false" ht="15.75" hidden="false" customHeight="true" outlineLevel="0" collapsed="false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</row>
    <row r="395" customFormat="false" ht="15.75" hidden="false" customHeight="true" outlineLevel="0" collapsed="false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</row>
    <row r="396" customFormat="false" ht="15.75" hidden="false" customHeight="true" outlineLevel="0" collapsed="false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</row>
    <row r="397" customFormat="false" ht="15.75" hidden="false" customHeight="true" outlineLevel="0" collapsed="false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</row>
    <row r="398" customFormat="false" ht="15.75" hidden="false" customHeight="true" outlineLevel="0" collapsed="false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</row>
    <row r="399" customFormat="false" ht="15.75" hidden="false" customHeight="true" outlineLevel="0" collapsed="false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</row>
    <row r="400" customFormat="false" ht="15.75" hidden="false" customHeight="true" outlineLevel="0" collapsed="false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</row>
    <row r="401" customFormat="false" ht="15.75" hidden="false" customHeight="true" outlineLevel="0" collapsed="false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</row>
    <row r="402" customFormat="false" ht="15.75" hidden="false" customHeight="true" outlineLevel="0" collapsed="false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</row>
    <row r="403" customFormat="false" ht="15.75" hidden="false" customHeight="true" outlineLevel="0" collapsed="false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</row>
    <row r="404" customFormat="false" ht="15.75" hidden="false" customHeight="true" outlineLevel="0" collapsed="false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</row>
    <row r="405" customFormat="false" ht="15.75" hidden="false" customHeight="true" outlineLevel="0" collapsed="false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</row>
    <row r="406" customFormat="false" ht="15.75" hidden="false" customHeight="true" outlineLevel="0" collapsed="false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</row>
    <row r="407" customFormat="false" ht="15.75" hidden="false" customHeight="true" outlineLevel="0" collapsed="false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</row>
    <row r="408" customFormat="false" ht="15.75" hidden="false" customHeight="true" outlineLevel="0" collapsed="false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</row>
    <row r="409" customFormat="false" ht="15.75" hidden="false" customHeight="true" outlineLevel="0" collapsed="false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</row>
    <row r="410" customFormat="false" ht="15.75" hidden="false" customHeight="true" outlineLevel="0" collapsed="false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</row>
    <row r="411" customFormat="false" ht="15.75" hidden="false" customHeight="true" outlineLevel="0" collapsed="false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</row>
    <row r="412" customFormat="false" ht="15.75" hidden="false" customHeight="true" outlineLevel="0" collapsed="false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</row>
    <row r="413" customFormat="false" ht="15.75" hidden="false" customHeight="true" outlineLevel="0" collapsed="false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</row>
    <row r="414" customFormat="false" ht="15.75" hidden="false" customHeight="true" outlineLevel="0" collapsed="false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</row>
    <row r="415" customFormat="false" ht="15.75" hidden="false" customHeight="true" outlineLevel="0" collapsed="false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</row>
    <row r="416" customFormat="false" ht="15.75" hidden="false" customHeight="true" outlineLevel="0" collapsed="false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</row>
    <row r="417" customFormat="false" ht="15.75" hidden="false" customHeight="true" outlineLevel="0" collapsed="false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</row>
    <row r="418" customFormat="false" ht="15.75" hidden="false" customHeight="true" outlineLevel="0" collapsed="false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</row>
    <row r="419" customFormat="false" ht="15.75" hidden="false" customHeight="true" outlineLevel="0" collapsed="false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</row>
    <row r="420" customFormat="false" ht="15.75" hidden="false" customHeight="true" outlineLevel="0" collapsed="false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</row>
    <row r="421" customFormat="false" ht="15.75" hidden="false" customHeight="true" outlineLevel="0" collapsed="false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</row>
    <row r="422" customFormat="false" ht="15.75" hidden="false" customHeight="true" outlineLevel="0" collapsed="false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</row>
    <row r="423" customFormat="false" ht="15.75" hidden="false" customHeight="true" outlineLevel="0" collapsed="false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</row>
    <row r="424" customFormat="false" ht="15.75" hidden="false" customHeight="true" outlineLevel="0" collapsed="false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</row>
    <row r="425" customFormat="false" ht="15.75" hidden="false" customHeight="true" outlineLevel="0" collapsed="false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</row>
    <row r="426" customFormat="false" ht="15.75" hidden="false" customHeight="true" outlineLevel="0" collapsed="false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</row>
    <row r="427" customFormat="false" ht="15.75" hidden="false" customHeight="true" outlineLevel="0" collapsed="false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</row>
    <row r="428" customFormat="false" ht="15.75" hidden="false" customHeight="true" outlineLevel="0" collapsed="false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</row>
    <row r="429" customFormat="false" ht="15.75" hidden="false" customHeight="true" outlineLevel="0" collapsed="false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</row>
    <row r="430" customFormat="false" ht="15.75" hidden="false" customHeight="true" outlineLevel="0" collapsed="false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</row>
    <row r="431" customFormat="false" ht="15.75" hidden="false" customHeight="true" outlineLevel="0" collapsed="false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</row>
    <row r="432" customFormat="false" ht="15.75" hidden="false" customHeight="true" outlineLevel="0" collapsed="false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</row>
    <row r="433" customFormat="false" ht="15.75" hidden="false" customHeight="true" outlineLevel="0" collapsed="false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</row>
    <row r="434" customFormat="false" ht="15.75" hidden="false" customHeight="true" outlineLevel="0" collapsed="false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</row>
    <row r="435" customFormat="false" ht="15.75" hidden="false" customHeight="true" outlineLevel="0" collapsed="false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</row>
    <row r="436" customFormat="false" ht="15.75" hidden="false" customHeight="true" outlineLevel="0" collapsed="false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</row>
    <row r="437" customFormat="false" ht="15.75" hidden="false" customHeight="true" outlineLevel="0" collapsed="false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</row>
    <row r="438" customFormat="false" ht="15.75" hidden="false" customHeight="true" outlineLevel="0" collapsed="false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</row>
    <row r="439" customFormat="false" ht="15.75" hidden="false" customHeight="true" outlineLevel="0" collapsed="false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</row>
    <row r="440" customFormat="false" ht="15.75" hidden="false" customHeight="true" outlineLevel="0" collapsed="false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</row>
    <row r="441" customFormat="false" ht="15.75" hidden="false" customHeight="true" outlineLevel="0" collapsed="false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</row>
    <row r="442" customFormat="false" ht="15.75" hidden="false" customHeight="true" outlineLevel="0" collapsed="false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</row>
    <row r="443" customFormat="false" ht="15.75" hidden="false" customHeight="true" outlineLevel="0" collapsed="false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</row>
    <row r="444" customFormat="false" ht="15.75" hidden="false" customHeight="true" outlineLevel="0" collapsed="false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</row>
    <row r="445" customFormat="false" ht="15.75" hidden="false" customHeight="true" outlineLevel="0" collapsed="false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</row>
    <row r="446" customFormat="false" ht="15.75" hidden="false" customHeight="true" outlineLevel="0" collapsed="false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</row>
    <row r="447" customFormat="false" ht="15.75" hidden="false" customHeight="true" outlineLevel="0" collapsed="false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</row>
    <row r="448" customFormat="false" ht="15.75" hidden="false" customHeight="true" outlineLevel="0" collapsed="false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</row>
    <row r="449" customFormat="false" ht="15.75" hidden="false" customHeight="true" outlineLevel="0" collapsed="false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</row>
    <row r="450" customFormat="false" ht="15.75" hidden="false" customHeight="true" outlineLevel="0" collapsed="false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</row>
    <row r="451" customFormat="false" ht="15.75" hidden="false" customHeight="true" outlineLevel="0" collapsed="false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</row>
    <row r="452" customFormat="false" ht="15.75" hidden="false" customHeight="true" outlineLevel="0" collapsed="false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</row>
    <row r="453" customFormat="false" ht="15.75" hidden="false" customHeight="true" outlineLevel="0" collapsed="false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</row>
    <row r="454" customFormat="false" ht="15.75" hidden="false" customHeight="true" outlineLevel="0" collapsed="false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</row>
    <row r="455" customFormat="false" ht="15.75" hidden="false" customHeight="true" outlineLevel="0" collapsed="false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</row>
    <row r="456" customFormat="false" ht="15.75" hidden="false" customHeight="true" outlineLevel="0" collapsed="false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</row>
    <row r="457" customFormat="false" ht="15.75" hidden="false" customHeight="true" outlineLevel="0" collapsed="false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</row>
    <row r="458" customFormat="false" ht="15.75" hidden="false" customHeight="true" outlineLevel="0" collapsed="false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</row>
    <row r="459" customFormat="false" ht="15.75" hidden="false" customHeight="true" outlineLevel="0" collapsed="false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</row>
    <row r="460" customFormat="false" ht="15.75" hidden="false" customHeight="true" outlineLevel="0" collapsed="false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</row>
    <row r="461" customFormat="false" ht="15.75" hidden="false" customHeight="true" outlineLevel="0" collapsed="false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</row>
    <row r="462" customFormat="false" ht="15.75" hidden="false" customHeight="true" outlineLevel="0" collapsed="false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</row>
    <row r="463" customFormat="false" ht="15.75" hidden="false" customHeight="true" outlineLevel="0" collapsed="false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</row>
    <row r="464" customFormat="false" ht="15.75" hidden="false" customHeight="true" outlineLevel="0" collapsed="false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</row>
    <row r="465" customFormat="false" ht="15.75" hidden="false" customHeight="true" outlineLevel="0" collapsed="false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</row>
    <row r="466" customFormat="false" ht="15.75" hidden="false" customHeight="true" outlineLevel="0" collapsed="false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</row>
    <row r="467" customFormat="false" ht="15.75" hidden="false" customHeight="true" outlineLevel="0" collapsed="false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</row>
    <row r="468" customFormat="false" ht="15.75" hidden="false" customHeight="true" outlineLevel="0" collapsed="false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</row>
    <row r="469" customFormat="false" ht="15.75" hidden="false" customHeight="true" outlineLevel="0" collapsed="false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</row>
    <row r="470" customFormat="false" ht="15.75" hidden="false" customHeight="true" outlineLevel="0" collapsed="false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</row>
    <row r="471" customFormat="false" ht="15.75" hidden="false" customHeight="true" outlineLevel="0" collapsed="false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</row>
    <row r="472" customFormat="false" ht="15.75" hidden="false" customHeight="true" outlineLevel="0" collapsed="false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</row>
    <row r="473" customFormat="false" ht="15.75" hidden="false" customHeight="true" outlineLevel="0" collapsed="false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</row>
    <row r="474" customFormat="false" ht="15.75" hidden="false" customHeight="true" outlineLevel="0" collapsed="false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</row>
    <row r="475" customFormat="false" ht="15.75" hidden="false" customHeight="true" outlineLevel="0" collapsed="false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</row>
    <row r="476" customFormat="false" ht="15.75" hidden="false" customHeight="true" outlineLevel="0" collapsed="false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</row>
    <row r="477" customFormat="false" ht="15.75" hidden="false" customHeight="true" outlineLevel="0" collapsed="false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</row>
    <row r="478" customFormat="false" ht="15.75" hidden="false" customHeight="true" outlineLevel="0" collapsed="false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</row>
    <row r="479" customFormat="false" ht="15.75" hidden="false" customHeight="true" outlineLevel="0" collapsed="false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</row>
    <row r="480" customFormat="false" ht="15.75" hidden="false" customHeight="true" outlineLevel="0" collapsed="false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</row>
    <row r="481" customFormat="false" ht="15.75" hidden="false" customHeight="true" outlineLevel="0" collapsed="false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</row>
    <row r="482" customFormat="false" ht="15.75" hidden="false" customHeight="true" outlineLevel="0" collapsed="false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</row>
    <row r="483" customFormat="false" ht="15.75" hidden="false" customHeight="true" outlineLevel="0" collapsed="false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</row>
    <row r="484" customFormat="false" ht="15.75" hidden="false" customHeight="true" outlineLevel="0" collapsed="false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</row>
    <row r="485" customFormat="false" ht="15.75" hidden="false" customHeight="true" outlineLevel="0" collapsed="false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</row>
    <row r="486" customFormat="false" ht="15.75" hidden="false" customHeight="true" outlineLevel="0" collapsed="false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</row>
    <row r="487" customFormat="false" ht="15.75" hidden="false" customHeight="true" outlineLevel="0" collapsed="false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</row>
    <row r="488" customFormat="false" ht="15.75" hidden="false" customHeight="true" outlineLevel="0" collapsed="false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</row>
    <row r="489" customFormat="false" ht="15.75" hidden="false" customHeight="true" outlineLevel="0" collapsed="false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</row>
    <row r="490" customFormat="false" ht="15.75" hidden="false" customHeight="true" outlineLevel="0" collapsed="false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</row>
    <row r="491" customFormat="false" ht="15.75" hidden="false" customHeight="true" outlineLevel="0" collapsed="false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</row>
    <row r="492" customFormat="false" ht="15.75" hidden="false" customHeight="true" outlineLevel="0" collapsed="false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</row>
    <row r="493" customFormat="false" ht="15.75" hidden="false" customHeight="true" outlineLevel="0" collapsed="false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</row>
    <row r="494" customFormat="false" ht="15.75" hidden="false" customHeight="true" outlineLevel="0" collapsed="false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</row>
    <row r="495" customFormat="false" ht="15.75" hidden="false" customHeight="true" outlineLevel="0" collapsed="false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</row>
    <row r="496" customFormat="false" ht="15.75" hidden="false" customHeight="true" outlineLevel="0" collapsed="false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</row>
    <row r="497" customFormat="false" ht="15.75" hidden="false" customHeight="true" outlineLevel="0" collapsed="false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</row>
    <row r="498" customFormat="false" ht="15.75" hidden="false" customHeight="true" outlineLevel="0" collapsed="false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</row>
    <row r="499" customFormat="false" ht="15.75" hidden="false" customHeight="true" outlineLevel="0" collapsed="false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</row>
    <row r="500" customFormat="false" ht="15.75" hidden="false" customHeight="true" outlineLevel="0" collapsed="false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</row>
    <row r="501" customFormat="false" ht="15.75" hidden="false" customHeight="true" outlineLevel="0" collapsed="false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</row>
    <row r="502" customFormat="false" ht="15.75" hidden="false" customHeight="true" outlineLevel="0" collapsed="false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</row>
    <row r="503" customFormat="false" ht="15.75" hidden="false" customHeight="true" outlineLevel="0" collapsed="false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</row>
    <row r="504" customFormat="false" ht="15.75" hidden="false" customHeight="true" outlineLevel="0" collapsed="false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</row>
    <row r="505" customFormat="false" ht="15.75" hidden="false" customHeight="true" outlineLevel="0" collapsed="false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</row>
    <row r="506" customFormat="false" ht="15.75" hidden="false" customHeight="true" outlineLevel="0" collapsed="false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</row>
    <row r="507" customFormat="false" ht="15.75" hidden="false" customHeight="true" outlineLevel="0" collapsed="false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</row>
    <row r="508" customFormat="false" ht="15.75" hidden="false" customHeight="true" outlineLevel="0" collapsed="false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</row>
    <row r="509" customFormat="false" ht="15.75" hidden="false" customHeight="true" outlineLevel="0" collapsed="false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</row>
    <row r="510" customFormat="false" ht="15.75" hidden="false" customHeight="true" outlineLevel="0" collapsed="false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</row>
    <row r="511" customFormat="false" ht="15.75" hidden="false" customHeight="true" outlineLevel="0" collapsed="false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</row>
    <row r="512" customFormat="false" ht="15.75" hidden="false" customHeight="true" outlineLevel="0" collapsed="false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</row>
    <row r="513" customFormat="false" ht="15.75" hidden="false" customHeight="true" outlineLevel="0" collapsed="false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</row>
    <row r="514" customFormat="false" ht="15.75" hidden="false" customHeight="true" outlineLevel="0" collapsed="false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</row>
    <row r="515" customFormat="false" ht="15.75" hidden="false" customHeight="true" outlineLevel="0" collapsed="false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</row>
    <row r="516" customFormat="false" ht="15.75" hidden="false" customHeight="true" outlineLevel="0" collapsed="false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</row>
    <row r="517" customFormat="false" ht="15.75" hidden="false" customHeight="true" outlineLevel="0" collapsed="false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</row>
    <row r="518" customFormat="false" ht="15.75" hidden="false" customHeight="true" outlineLevel="0" collapsed="false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</row>
    <row r="519" customFormat="false" ht="15.75" hidden="false" customHeight="true" outlineLevel="0" collapsed="false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</row>
    <row r="520" customFormat="false" ht="15.75" hidden="false" customHeight="true" outlineLevel="0" collapsed="false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</row>
    <row r="521" customFormat="false" ht="15.75" hidden="false" customHeight="true" outlineLevel="0" collapsed="false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</row>
    <row r="522" customFormat="false" ht="15.75" hidden="false" customHeight="true" outlineLevel="0" collapsed="false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</row>
    <row r="523" customFormat="false" ht="15.75" hidden="false" customHeight="true" outlineLevel="0" collapsed="false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</row>
    <row r="524" customFormat="false" ht="15.75" hidden="false" customHeight="true" outlineLevel="0" collapsed="false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</row>
    <row r="525" customFormat="false" ht="15.75" hidden="false" customHeight="true" outlineLevel="0" collapsed="false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</row>
    <row r="526" customFormat="false" ht="15.75" hidden="false" customHeight="true" outlineLevel="0" collapsed="false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</row>
    <row r="527" customFormat="false" ht="15.75" hidden="false" customHeight="true" outlineLevel="0" collapsed="false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</row>
    <row r="528" customFormat="false" ht="15.75" hidden="false" customHeight="true" outlineLevel="0" collapsed="false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</row>
    <row r="529" customFormat="false" ht="15.75" hidden="false" customHeight="true" outlineLevel="0" collapsed="false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</row>
    <row r="530" customFormat="false" ht="15.75" hidden="false" customHeight="true" outlineLevel="0" collapsed="false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</row>
    <row r="531" customFormat="false" ht="15.75" hidden="false" customHeight="true" outlineLevel="0" collapsed="false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</row>
    <row r="532" customFormat="false" ht="15.75" hidden="false" customHeight="true" outlineLevel="0" collapsed="false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</row>
    <row r="533" customFormat="false" ht="15.75" hidden="false" customHeight="true" outlineLevel="0" collapsed="false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</row>
    <row r="534" customFormat="false" ht="15.75" hidden="false" customHeight="true" outlineLevel="0" collapsed="false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</row>
    <row r="535" customFormat="false" ht="15.75" hidden="false" customHeight="true" outlineLevel="0" collapsed="false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</row>
    <row r="536" customFormat="false" ht="15.75" hidden="false" customHeight="true" outlineLevel="0" collapsed="false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</row>
    <row r="537" customFormat="false" ht="15.75" hidden="false" customHeight="true" outlineLevel="0" collapsed="false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</row>
    <row r="538" customFormat="false" ht="15.75" hidden="false" customHeight="true" outlineLevel="0" collapsed="false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</row>
    <row r="539" customFormat="false" ht="15.75" hidden="false" customHeight="true" outlineLevel="0" collapsed="false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</row>
    <row r="540" customFormat="false" ht="15.75" hidden="false" customHeight="true" outlineLevel="0" collapsed="false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</row>
    <row r="541" customFormat="false" ht="15.75" hidden="false" customHeight="true" outlineLevel="0" collapsed="false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</row>
    <row r="542" customFormat="false" ht="15.75" hidden="false" customHeight="true" outlineLevel="0" collapsed="false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</row>
    <row r="543" customFormat="false" ht="15.75" hidden="false" customHeight="true" outlineLevel="0" collapsed="false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</row>
    <row r="544" customFormat="false" ht="15.75" hidden="false" customHeight="true" outlineLevel="0" collapsed="false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</row>
    <row r="545" customFormat="false" ht="15.75" hidden="false" customHeight="true" outlineLevel="0" collapsed="false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</row>
    <row r="546" customFormat="false" ht="15.75" hidden="false" customHeight="true" outlineLevel="0" collapsed="false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</row>
    <row r="547" customFormat="false" ht="15.75" hidden="false" customHeight="true" outlineLevel="0" collapsed="false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</row>
    <row r="548" customFormat="false" ht="15.75" hidden="false" customHeight="true" outlineLevel="0" collapsed="false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</row>
    <row r="549" customFormat="false" ht="15.75" hidden="false" customHeight="true" outlineLevel="0" collapsed="false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</row>
    <row r="550" customFormat="false" ht="15.75" hidden="false" customHeight="true" outlineLevel="0" collapsed="false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</row>
    <row r="551" customFormat="false" ht="15.75" hidden="false" customHeight="true" outlineLevel="0" collapsed="false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</row>
    <row r="552" customFormat="false" ht="15.75" hidden="false" customHeight="true" outlineLevel="0" collapsed="false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</row>
    <row r="553" customFormat="false" ht="15.75" hidden="false" customHeight="true" outlineLevel="0" collapsed="false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</row>
    <row r="554" customFormat="false" ht="15.75" hidden="false" customHeight="true" outlineLevel="0" collapsed="false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</row>
    <row r="555" customFormat="false" ht="15.75" hidden="false" customHeight="true" outlineLevel="0" collapsed="false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</row>
    <row r="556" customFormat="false" ht="15.75" hidden="false" customHeight="true" outlineLevel="0" collapsed="false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</row>
    <row r="557" customFormat="false" ht="15.75" hidden="false" customHeight="true" outlineLevel="0" collapsed="false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</row>
    <row r="558" customFormat="false" ht="15.75" hidden="false" customHeight="true" outlineLevel="0" collapsed="false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</row>
    <row r="559" customFormat="false" ht="15.75" hidden="false" customHeight="true" outlineLevel="0" collapsed="false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</row>
    <row r="560" customFormat="false" ht="15.75" hidden="false" customHeight="true" outlineLevel="0" collapsed="false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</row>
    <row r="561" customFormat="false" ht="15.75" hidden="false" customHeight="true" outlineLevel="0" collapsed="false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</row>
    <row r="562" customFormat="false" ht="15.75" hidden="false" customHeight="true" outlineLevel="0" collapsed="false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</row>
    <row r="563" customFormat="false" ht="15.75" hidden="false" customHeight="true" outlineLevel="0" collapsed="false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</row>
    <row r="564" customFormat="false" ht="15.75" hidden="false" customHeight="true" outlineLevel="0" collapsed="false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</row>
    <row r="565" customFormat="false" ht="15.75" hidden="false" customHeight="true" outlineLevel="0" collapsed="false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</row>
    <row r="566" customFormat="false" ht="15.75" hidden="false" customHeight="true" outlineLevel="0" collapsed="false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</row>
    <row r="567" customFormat="false" ht="15.75" hidden="false" customHeight="true" outlineLevel="0" collapsed="false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</row>
    <row r="568" customFormat="false" ht="15.75" hidden="false" customHeight="true" outlineLevel="0" collapsed="false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</row>
    <row r="569" customFormat="false" ht="15.75" hidden="false" customHeight="true" outlineLevel="0" collapsed="false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</row>
    <row r="570" customFormat="false" ht="15.75" hidden="false" customHeight="true" outlineLevel="0" collapsed="false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</row>
    <row r="571" customFormat="false" ht="15.75" hidden="false" customHeight="true" outlineLevel="0" collapsed="false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</row>
    <row r="572" customFormat="false" ht="15.75" hidden="false" customHeight="true" outlineLevel="0" collapsed="false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</row>
    <row r="573" customFormat="false" ht="15.75" hidden="false" customHeight="true" outlineLevel="0" collapsed="false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</row>
    <row r="574" customFormat="false" ht="15.75" hidden="false" customHeight="true" outlineLevel="0" collapsed="false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</row>
    <row r="575" customFormat="false" ht="15.75" hidden="false" customHeight="true" outlineLevel="0" collapsed="false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</row>
    <row r="576" customFormat="false" ht="15.75" hidden="false" customHeight="true" outlineLevel="0" collapsed="false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</row>
    <row r="577" customFormat="false" ht="15.75" hidden="false" customHeight="true" outlineLevel="0" collapsed="false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</row>
    <row r="578" customFormat="false" ht="15.75" hidden="false" customHeight="true" outlineLevel="0" collapsed="false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</row>
    <row r="579" customFormat="false" ht="15.75" hidden="false" customHeight="true" outlineLevel="0" collapsed="false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</row>
    <row r="580" customFormat="false" ht="15.75" hidden="false" customHeight="true" outlineLevel="0" collapsed="false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</row>
    <row r="581" customFormat="false" ht="15.75" hidden="false" customHeight="true" outlineLevel="0" collapsed="false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</row>
    <row r="582" customFormat="false" ht="15.75" hidden="false" customHeight="true" outlineLevel="0" collapsed="false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</row>
    <row r="583" customFormat="false" ht="15.75" hidden="false" customHeight="true" outlineLevel="0" collapsed="false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</row>
    <row r="584" customFormat="false" ht="15.75" hidden="false" customHeight="true" outlineLevel="0" collapsed="false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</row>
    <row r="585" customFormat="false" ht="15.75" hidden="false" customHeight="true" outlineLevel="0" collapsed="false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</row>
    <row r="586" customFormat="false" ht="15.75" hidden="false" customHeight="true" outlineLevel="0" collapsed="false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</row>
    <row r="587" customFormat="false" ht="15.75" hidden="false" customHeight="true" outlineLevel="0" collapsed="false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</row>
    <row r="588" customFormat="false" ht="15.75" hidden="false" customHeight="true" outlineLevel="0" collapsed="false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</row>
    <row r="589" customFormat="false" ht="15.75" hidden="false" customHeight="true" outlineLevel="0" collapsed="false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</row>
    <row r="590" customFormat="false" ht="15.75" hidden="false" customHeight="true" outlineLevel="0" collapsed="false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</row>
    <row r="591" customFormat="false" ht="15.75" hidden="false" customHeight="true" outlineLevel="0" collapsed="false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</row>
    <row r="592" customFormat="false" ht="15.75" hidden="false" customHeight="true" outlineLevel="0" collapsed="false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</row>
    <row r="593" customFormat="false" ht="15.75" hidden="false" customHeight="true" outlineLevel="0" collapsed="false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</row>
    <row r="594" customFormat="false" ht="15.75" hidden="false" customHeight="true" outlineLevel="0" collapsed="false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</row>
    <row r="595" customFormat="false" ht="15.75" hidden="false" customHeight="true" outlineLevel="0" collapsed="false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</row>
    <row r="596" customFormat="false" ht="15.75" hidden="false" customHeight="true" outlineLevel="0" collapsed="false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</row>
    <row r="597" customFormat="false" ht="15.75" hidden="false" customHeight="true" outlineLevel="0" collapsed="false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</row>
    <row r="598" customFormat="false" ht="15.75" hidden="false" customHeight="true" outlineLevel="0" collapsed="false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</row>
    <row r="599" customFormat="false" ht="15.75" hidden="false" customHeight="true" outlineLevel="0" collapsed="false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</row>
    <row r="600" customFormat="false" ht="15.75" hidden="false" customHeight="true" outlineLevel="0" collapsed="false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</row>
    <row r="601" customFormat="false" ht="15.75" hidden="false" customHeight="true" outlineLevel="0" collapsed="false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</row>
    <row r="602" customFormat="false" ht="15.75" hidden="false" customHeight="true" outlineLevel="0" collapsed="false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</row>
    <row r="603" customFormat="false" ht="15.75" hidden="false" customHeight="true" outlineLevel="0" collapsed="false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</row>
    <row r="604" customFormat="false" ht="15.75" hidden="false" customHeight="true" outlineLevel="0" collapsed="false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</row>
    <row r="605" customFormat="false" ht="15.75" hidden="false" customHeight="true" outlineLevel="0" collapsed="false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</row>
    <row r="606" customFormat="false" ht="15.75" hidden="false" customHeight="true" outlineLevel="0" collapsed="false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</row>
    <row r="607" customFormat="false" ht="15.75" hidden="false" customHeight="true" outlineLevel="0" collapsed="false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</row>
    <row r="608" customFormat="false" ht="15.75" hidden="false" customHeight="true" outlineLevel="0" collapsed="false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</row>
    <row r="609" customFormat="false" ht="15.75" hidden="false" customHeight="true" outlineLevel="0" collapsed="false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</row>
    <row r="610" customFormat="false" ht="15.75" hidden="false" customHeight="true" outlineLevel="0" collapsed="false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</row>
    <row r="611" customFormat="false" ht="15.75" hidden="false" customHeight="true" outlineLevel="0" collapsed="false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</row>
    <row r="612" customFormat="false" ht="15.75" hidden="false" customHeight="true" outlineLevel="0" collapsed="false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</row>
    <row r="613" customFormat="false" ht="15.75" hidden="false" customHeight="true" outlineLevel="0" collapsed="false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</row>
    <row r="614" customFormat="false" ht="15.75" hidden="false" customHeight="true" outlineLevel="0" collapsed="false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</row>
    <row r="615" customFormat="false" ht="15.75" hidden="false" customHeight="true" outlineLevel="0" collapsed="false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</row>
    <row r="616" customFormat="false" ht="15.75" hidden="false" customHeight="true" outlineLevel="0" collapsed="false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</row>
    <row r="617" customFormat="false" ht="15.75" hidden="false" customHeight="true" outlineLevel="0" collapsed="false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</row>
    <row r="618" customFormat="false" ht="15.75" hidden="false" customHeight="true" outlineLevel="0" collapsed="false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</row>
    <row r="619" customFormat="false" ht="15.75" hidden="false" customHeight="true" outlineLevel="0" collapsed="false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</row>
    <row r="620" customFormat="false" ht="15.75" hidden="false" customHeight="true" outlineLevel="0" collapsed="false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</row>
    <row r="621" customFormat="false" ht="15.75" hidden="false" customHeight="true" outlineLevel="0" collapsed="false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</row>
    <row r="622" customFormat="false" ht="15.75" hidden="false" customHeight="true" outlineLevel="0" collapsed="false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</row>
    <row r="623" customFormat="false" ht="15.75" hidden="false" customHeight="true" outlineLevel="0" collapsed="false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</row>
    <row r="624" customFormat="false" ht="15.75" hidden="false" customHeight="true" outlineLevel="0" collapsed="false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</row>
    <row r="625" customFormat="false" ht="15.75" hidden="false" customHeight="true" outlineLevel="0" collapsed="false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</row>
    <row r="626" customFormat="false" ht="15.75" hidden="false" customHeight="true" outlineLevel="0" collapsed="false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</row>
    <row r="627" customFormat="false" ht="15.75" hidden="false" customHeight="true" outlineLevel="0" collapsed="false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</row>
    <row r="628" customFormat="false" ht="15.75" hidden="false" customHeight="true" outlineLevel="0" collapsed="false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</row>
    <row r="629" customFormat="false" ht="15.75" hidden="false" customHeight="true" outlineLevel="0" collapsed="false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</row>
    <row r="630" customFormat="false" ht="15.75" hidden="false" customHeight="true" outlineLevel="0" collapsed="false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</row>
    <row r="631" customFormat="false" ht="15.75" hidden="false" customHeight="true" outlineLevel="0" collapsed="false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</row>
    <row r="632" customFormat="false" ht="15.75" hidden="false" customHeight="true" outlineLevel="0" collapsed="false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</row>
    <row r="633" customFormat="false" ht="15.75" hidden="false" customHeight="true" outlineLevel="0" collapsed="false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</row>
    <row r="634" customFormat="false" ht="15.75" hidden="false" customHeight="true" outlineLevel="0" collapsed="false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</row>
    <row r="635" customFormat="false" ht="15.75" hidden="false" customHeight="true" outlineLevel="0" collapsed="false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</row>
    <row r="636" customFormat="false" ht="15.75" hidden="false" customHeight="true" outlineLevel="0" collapsed="false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</row>
    <row r="637" customFormat="false" ht="15.75" hidden="false" customHeight="true" outlineLevel="0" collapsed="false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</row>
    <row r="638" customFormat="false" ht="15.75" hidden="false" customHeight="true" outlineLevel="0" collapsed="false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</row>
    <row r="639" customFormat="false" ht="15.75" hidden="false" customHeight="true" outlineLevel="0" collapsed="false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</row>
    <row r="640" customFormat="false" ht="15.75" hidden="false" customHeight="true" outlineLevel="0" collapsed="false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</row>
    <row r="641" customFormat="false" ht="15.75" hidden="false" customHeight="true" outlineLevel="0" collapsed="false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</row>
    <row r="642" customFormat="false" ht="15.75" hidden="false" customHeight="true" outlineLevel="0" collapsed="false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</row>
    <row r="643" customFormat="false" ht="15.75" hidden="false" customHeight="true" outlineLevel="0" collapsed="false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</row>
    <row r="644" customFormat="false" ht="15.75" hidden="false" customHeight="true" outlineLevel="0" collapsed="false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</row>
    <row r="645" customFormat="false" ht="15.75" hidden="false" customHeight="true" outlineLevel="0" collapsed="false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</row>
    <row r="646" customFormat="false" ht="15.75" hidden="false" customHeight="true" outlineLevel="0" collapsed="false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</row>
    <row r="647" customFormat="false" ht="15.75" hidden="false" customHeight="true" outlineLevel="0" collapsed="false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</row>
    <row r="648" customFormat="false" ht="15.75" hidden="false" customHeight="true" outlineLevel="0" collapsed="false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</row>
    <row r="649" customFormat="false" ht="15.75" hidden="false" customHeight="true" outlineLevel="0" collapsed="false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</row>
    <row r="650" customFormat="false" ht="15.75" hidden="false" customHeight="true" outlineLevel="0" collapsed="false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</row>
    <row r="651" customFormat="false" ht="15.75" hidden="false" customHeight="true" outlineLevel="0" collapsed="false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</row>
    <row r="652" customFormat="false" ht="15.75" hidden="false" customHeight="true" outlineLevel="0" collapsed="false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</row>
    <row r="653" customFormat="false" ht="15.75" hidden="false" customHeight="true" outlineLevel="0" collapsed="false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</row>
    <row r="654" customFormat="false" ht="15.75" hidden="false" customHeight="true" outlineLevel="0" collapsed="false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</row>
    <row r="655" customFormat="false" ht="15.75" hidden="false" customHeight="true" outlineLevel="0" collapsed="false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</row>
    <row r="656" customFormat="false" ht="15.75" hidden="false" customHeight="true" outlineLevel="0" collapsed="false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</row>
    <row r="657" customFormat="false" ht="15.75" hidden="false" customHeight="true" outlineLevel="0" collapsed="false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</row>
    <row r="658" customFormat="false" ht="15.75" hidden="false" customHeight="true" outlineLevel="0" collapsed="false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</row>
    <row r="659" customFormat="false" ht="15.75" hidden="false" customHeight="true" outlineLevel="0" collapsed="false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</row>
    <row r="660" customFormat="false" ht="15.75" hidden="false" customHeight="true" outlineLevel="0" collapsed="false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</row>
    <row r="661" customFormat="false" ht="15.75" hidden="false" customHeight="true" outlineLevel="0" collapsed="false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</row>
    <row r="662" customFormat="false" ht="15.75" hidden="false" customHeight="true" outlineLevel="0" collapsed="false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</row>
    <row r="663" customFormat="false" ht="15.75" hidden="false" customHeight="true" outlineLevel="0" collapsed="false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</row>
    <row r="664" customFormat="false" ht="15.75" hidden="false" customHeight="true" outlineLevel="0" collapsed="false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</row>
    <row r="665" customFormat="false" ht="15.75" hidden="false" customHeight="true" outlineLevel="0" collapsed="false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</row>
    <row r="666" customFormat="false" ht="15.75" hidden="false" customHeight="true" outlineLevel="0" collapsed="false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</row>
    <row r="667" customFormat="false" ht="15.75" hidden="false" customHeight="true" outlineLevel="0" collapsed="false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</row>
    <row r="668" customFormat="false" ht="15.75" hidden="false" customHeight="true" outlineLevel="0" collapsed="false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</row>
    <row r="669" customFormat="false" ht="15.75" hidden="false" customHeight="true" outlineLevel="0" collapsed="false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</row>
    <row r="670" customFormat="false" ht="15.75" hidden="false" customHeight="true" outlineLevel="0" collapsed="false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</row>
    <row r="671" customFormat="false" ht="15.75" hidden="false" customHeight="true" outlineLevel="0" collapsed="false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</row>
    <row r="672" customFormat="false" ht="15.75" hidden="false" customHeight="true" outlineLevel="0" collapsed="false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</row>
    <row r="673" customFormat="false" ht="15.75" hidden="false" customHeight="true" outlineLevel="0" collapsed="false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</row>
    <row r="674" customFormat="false" ht="15.75" hidden="false" customHeight="true" outlineLevel="0" collapsed="false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</row>
    <row r="675" customFormat="false" ht="15.75" hidden="false" customHeight="true" outlineLevel="0" collapsed="false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</row>
    <row r="676" customFormat="false" ht="15.75" hidden="false" customHeight="true" outlineLevel="0" collapsed="false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</row>
    <row r="677" customFormat="false" ht="15.75" hidden="false" customHeight="true" outlineLevel="0" collapsed="false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</row>
    <row r="678" customFormat="false" ht="15.75" hidden="false" customHeight="true" outlineLevel="0" collapsed="false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</row>
    <row r="679" customFormat="false" ht="15.75" hidden="false" customHeight="true" outlineLevel="0" collapsed="false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</row>
    <row r="680" customFormat="false" ht="15.75" hidden="false" customHeight="true" outlineLevel="0" collapsed="false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</row>
    <row r="681" customFormat="false" ht="15.75" hidden="false" customHeight="true" outlineLevel="0" collapsed="false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</row>
    <row r="682" customFormat="false" ht="15.75" hidden="false" customHeight="true" outlineLevel="0" collapsed="false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</row>
    <row r="683" customFormat="false" ht="15.75" hidden="false" customHeight="true" outlineLevel="0" collapsed="false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</row>
    <row r="684" customFormat="false" ht="15.75" hidden="false" customHeight="true" outlineLevel="0" collapsed="false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</row>
    <row r="685" customFormat="false" ht="15.75" hidden="false" customHeight="true" outlineLevel="0" collapsed="false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</row>
    <row r="686" customFormat="false" ht="15.75" hidden="false" customHeight="true" outlineLevel="0" collapsed="false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</row>
    <row r="687" customFormat="false" ht="15.75" hidden="false" customHeight="true" outlineLevel="0" collapsed="false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</row>
    <row r="688" customFormat="false" ht="15.75" hidden="false" customHeight="true" outlineLevel="0" collapsed="false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</row>
    <row r="689" customFormat="false" ht="15.75" hidden="false" customHeight="true" outlineLevel="0" collapsed="false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</row>
    <row r="690" customFormat="false" ht="15.75" hidden="false" customHeight="true" outlineLevel="0" collapsed="false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</row>
    <row r="691" customFormat="false" ht="15.75" hidden="false" customHeight="true" outlineLevel="0" collapsed="false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</row>
    <row r="692" customFormat="false" ht="15.75" hidden="false" customHeight="true" outlineLevel="0" collapsed="false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</row>
    <row r="693" customFormat="false" ht="15.75" hidden="false" customHeight="true" outlineLevel="0" collapsed="false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</row>
    <row r="694" customFormat="false" ht="15.75" hidden="false" customHeight="true" outlineLevel="0" collapsed="false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</row>
    <row r="695" customFormat="false" ht="15.75" hidden="false" customHeight="true" outlineLevel="0" collapsed="false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</row>
    <row r="696" customFormat="false" ht="15.75" hidden="false" customHeight="true" outlineLevel="0" collapsed="false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</row>
    <row r="697" customFormat="false" ht="15.75" hidden="false" customHeight="true" outlineLevel="0" collapsed="false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</row>
    <row r="698" customFormat="false" ht="15.75" hidden="false" customHeight="true" outlineLevel="0" collapsed="false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</row>
    <row r="699" customFormat="false" ht="15.75" hidden="false" customHeight="true" outlineLevel="0" collapsed="false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</row>
    <row r="700" customFormat="false" ht="15.75" hidden="false" customHeight="true" outlineLevel="0" collapsed="false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</row>
    <row r="701" customFormat="false" ht="15.75" hidden="false" customHeight="true" outlineLevel="0" collapsed="false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</row>
    <row r="702" customFormat="false" ht="15.75" hidden="false" customHeight="true" outlineLevel="0" collapsed="false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</row>
    <row r="703" customFormat="false" ht="15.75" hidden="false" customHeight="true" outlineLevel="0" collapsed="false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</row>
    <row r="704" customFormat="false" ht="15.75" hidden="false" customHeight="true" outlineLevel="0" collapsed="false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</row>
    <row r="705" customFormat="false" ht="15.75" hidden="false" customHeight="true" outlineLevel="0" collapsed="false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</row>
    <row r="706" customFormat="false" ht="15.75" hidden="false" customHeight="true" outlineLevel="0" collapsed="false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</row>
    <row r="707" customFormat="false" ht="15.75" hidden="false" customHeight="true" outlineLevel="0" collapsed="false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</row>
    <row r="708" customFormat="false" ht="15.75" hidden="false" customHeight="true" outlineLevel="0" collapsed="false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</row>
    <row r="709" customFormat="false" ht="15.75" hidden="false" customHeight="true" outlineLevel="0" collapsed="false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</row>
    <row r="710" customFormat="false" ht="15.75" hidden="false" customHeight="true" outlineLevel="0" collapsed="false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</row>
    <row r="711" customFormat="false" ht="15.75" hidden="false" customHeight="true" outlineLevel="0" collapsed="false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</row>
    <row r="712" customFormat="false" ht="15.75" hidden="false" customHeight="true" outlineLevel="0" collapsed="false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</row>
    <row r="713" customFormat="false" ht="15.75" hidden="false" customHeight="true" outlineLevel="0" collapsed="false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</row>
    <row r="714" customFormat="false" ht="15.75" hidden="false" customHeight="true" outlineLevel="0" collapsed="false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</row>
    <row r="715" customFormat="false" ht="15.75" hidden="false" customHeight="true" outlineLevel="0" collapsed="false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</row>
    <row r="716" customFormat="false" ht="15.75" hidden="false" customHeight="true" outlineLevel="0" collapsed="false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</row>
    <row r="717" customFormat="false" ht="15.75" hidden="false" customHeight="true" outlineLevel="0" collapsed="false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</row>
    <row r="718" customFormat="false" ht="15.75" hidden="false" customHeight="true" outlineLevel="0" collapsed="false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</row>
    <row r="719" customFormat="false" ht="15.75" hidden="false" customHeight="true" outlineLevel="0" collapsed="false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</row>
    <row r="720" customFormat="false" ht="15.75" hidden="false" customHeight="true" outlineLevel="0" collapsed="false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</row>
    <row r="721" customFormat="false" ht="15.75" hidden="false" customHeight="true" outlineLevel="0" collapsed="false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</row>
    <row r="722" customFormat="false" ht="15.75" hidden="false" customHeight="true" outlineLevel="0" collapsed="false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</row>
    <row r="723" customFormat="false" ht="15.75" hidden="false" customHeight="true" outlineLevel="0" collapsed="false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</row>
    <row r="724" customFormat="false" ht="15.75" hidden="false" customHeight="true" outlineLevel="0" collapsed="false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</row>
    <row r="725" customFormat="false" ht="15.75" hidden="false" customHeight="true" outlineLevel="0" collapsed="false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</row>
    <row r="726" customFormat="false" ht="15.75" hidden="false" customHeight="true" outlineLevel="0" collapsed="false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</row>
    <row r="727" customFormat="false" ht="15.75" hidden="false" customHeight="true" outlineLevel="0" collapsed="false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</row>
    <row r="728" customFormat="false" ht="15.75" hidden="false" customHeight="true" outlineLevel="0" collapsed="false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</row>
    <row r="729" customFormat="false" ht="15.75" hidden="false" customHeight="true" outlineLevel="0" collapsed="false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</row>
    <row r="730" customFormat="false" ht="15.75" hidden="false" customHeight="true" outlineLevel="0" collapsed="false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</row>
    <row r="731" customFormat="false" ht="15.75" hidden="false" customHeight="true" outlineLevel="0" collapsed="false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</row>
    <row r="732" customFormat="false" ht="15.75" hidden="false" customHeight="true" outlineLevel="0" collapsed="false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</row>
    <row r="733" customFormat="false" ht="15.75" hidden="false" customHeight="true" outlineLevel="0" collapsed="false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</row>
    <row r="734" customFormat="false" ht="15.75" hidden="false" customHeight="true" outlineLevel="0" collapsed="false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</row>
    <row r="735" customFormat="false" ht="15.75" hidden="false" customHeight="true" outlineLevel="0" collapsed="false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</row>
    <row r="736" customFormat="false" ht="15.75" hidden="false" customHeight="true" outlineLevel="0" collapsed="false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</row>
    <row r="737" customFormat="false" ht="15.75" hidden="false" customHeight="true" outlineLevel="0" collapsed="false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</row>
    <row r="738" customFormat="false" ht="15.75" hidden="false" customHeight="true" outlineLevel="0" collapsed="false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</row>
    <row r="739" customFormat="false" ht="15.75" hidden="false" customHeight="true" outlineLevel="0" collapsed="false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</row>
    <row r="740" customFormat="false" ht="15.75" hidden="false" customHeight="true" outlineLevel="0" collapsed="false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</row>
    <row r="741" customFormat="false" ht="15.75" hidden="false" customHeight="true" outlineLevel="0" collapsed="false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</row>
    <row r="742" customFormat="false" ht="15.75" hidden="false" customHeight="true" outlineLevel="0" collapsed="false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</row>
    <row r="743" customFormat="false" ht="15.75" hidden="false" customHeight="true" outlineLevel="0" collapsed="false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</row>
    <row r="744" customFormat="false" ht="15.75" hidden="false" customHeight="true" outlineLevel="0" collapsed="false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</row>
    <row r="745" customFormat="false" ht="15.75" hidden="false" customHeight="true" outlineLevel="0" collapsed="false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</row>
    <row r="746" customFormat="false" ht="15.75" hidden="false" customHeight="true" outlineLevel="0" collapsed="false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</row>
    <row r="747" customFormat="false" ht="15.75" hidden="false" customHeight="true" outlineLevel="0" collapsed="false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</row>
    <row r="748" customFormat="false" ht="15.75" hidden="false" customHeight="true" outlineLevel="0" collapsed="false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</row>
    <row r="749" customFormat="false" ht="15.75" hidden="false" customHeight="true" outlineLevel="0" collapsed="false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</row>
    <row r="750" customFormat="false" ht="15.75" hidden="false" customHeight="true" outlineLevel="0" collapsed="false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</row>
    <row r="751" customFormat="false" ht="15.75" hidden="false" customHeight="true" outlineLevel="0" collapsed="false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</row>
    <row r="752" customFormat="false" ht="15.75" hidden="false" customHeight="true" outlineLevel="0" collapsed="false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</row>
    <row r="753" customFormat="false" ht="15.75" hidden="false" customHeight="true" outlineLevel="0" collapsed="false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</row>
    <row r="754" customFormat="false" ht="15.75" hidden="false" customHeight="true" outlineLevel="0" collapsed="false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</row>
    <row r="755" customFormat="false" ht="15.75" hidden="false" customHeight="true" outlineLevel="0" collapsed="false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</row>
    <row r="756" customFormat="false" ht="15.75" hidden="false" customHeight="true" outlineLevel="0" collapsed="false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</row>
    <row r="757" customFormat="false" ht="15.75" hidden="false" customHeight="true" outlineLevel="0" collapsed="false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</row>
    <row r="758" customFormat="false" ht="15.75" hidden="false" customHeight="true" outlineLevel="0" collapsed="false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</row>
    <row r="759" customFormat="false" ht="15.75" hidden="false" customHeight="true" outlineLevel="0" collapsed="false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</row>
    <row r="760" customFormat="false" ht="15.75" hidden="false" customHeight="true" outlineLevel="0" collapsed="false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</row>
    <row r="761" customFormat="false" ht="15.75" hidden="false" customHeight="true" outlineLevel="0" collapsed="false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</row>
    <row r="762" customFormat="false" ht="15.75" hidden="false" customHeight="true" outlineLevel="0" collapsed="false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</row>
    <row r="763" customFormat="false" ht="15.75" hidden="false" customHeight="true" outlineLevel="0" collapsed="false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</row>
    <row r="764" customFormat="false" ht="15.75" hidden="false" customHeight="true" outlineLevel="0" collapsed="false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</row>
    <row r="765" customFormat="false" ht="15.75" hidden="false" customHeight="true" outlineLevel="0" collapsed="false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</row>
    <row r="766" customFormat="false" ht="15.75" hidden="false" customHeight="true" outlineLevel="0" collapsed="false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</row>
    <row r="767" customFormat="false" ht="15.75" hidden="false" customHeight="true" outlineLevel="0" collapsed="false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</row>
    <row r="768" customFormat="false" ht="15.75" hidden="false" customHeight="true" outlineLevel="0" collapsed="false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</row>
    <row r="769" customFormat="false" ht="15.75" hidden="false" customHeight="true" outlineLevel="0" collapsed="false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</row>
    <row r="770" customFormat="false" ht="15.75" hidden="false" customHeight="true" outlineLevel="0" collapsed="false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</row>
    <row r="771" customFormat="false" ht="15.75" hidden="false" customHeight="true" outlineLevel="0" collapsed="false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</row>
    <row r="772" customFormat="false" ht="15.75" hidden="false" customHeight="true" outlineLevel="0" collapsed="false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</row>
    <row r="773" customFormat="false" ht="15.75" hidden="false" customHeight="true" outlineLevel="0" collapsed="false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</row>
    <row r="774" customFormat="false" ht="15.75" hidden="false" customHeight="true" outlineLevel="0" collapsed="false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</row>
    <row r="775" customFormat="false" ht="15.75" hidden="false" customHeight="true" outlineLevel="0" collapsed="false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</row>
    <row r="776" customFormat="false" ht="15.75" hidden="false" customHeight="true" outlineLevel="0" collapsed="false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</row>
    <row r="777" customFormat="false" ht="15.75" hidden="false" customHeight="true" outlineLevel="0" collapsed="false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</row>
    <row r="778" customFormat="false" ht="15.75" hidden="false" customHeight="true" outlineLevel="0" collapsed="false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</row>
    <row r="779" customFormat="false" ht="15.75" hidden="false" customHeight="true" outlineLevel="0" collapsed="false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</row>
    <row r="780" customFormat="false" ht="15.75" hidden="false" customHeight="true" outlineLevel="0" collapsed="false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</row>
    <row r="781" customFormat="false" ht="15.75" hidden="false" customHeight="true" outlineLevel="0" collapsed="false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</row>
    <row r="782" customFormat="false" ht="15.75" hidden="false" customHeight="true" outlineLevel="0" collapsed="false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</row>
    <row r="783" customFormat="false" ht="15.75" hidden="false" customHeight="true" outlineLevel="0" collapsed="false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</row>
    <row r="784" customFormat="false" ht="15.75" hidden="false" customHeight="true" outlineLevel="0" collapsed="false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</row>
    <row r="785" customFormat="false" ht="15.75" hidden="false" customHeight="true" outlineLevel="0" collapsed="false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</row>
    <row r="786" customFormat="false" ht="15.75" hidden="false" customHeight="true" outlineLevel="0" collapsed="false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</row>
    <row r="787" customFormat="false" ht="15.75" hidden="false" customHeight="true" outlineLevel="0" collapsed="false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</row>
    <row r="788" customFormat="false" ht="15.75" hidden="false" customHeight="true" outlineLevel="0" collapsed="false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</row>
    <row r="789" customFormat="false" ht="15.75" hidden="false" customHeight="true" outlineLevel="0" collapsed="false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</row>
    <row r="790" customFormat="false" ht="15.75" hidden="false" customHeight="true" outlineLevel="0" collapsed="false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</row>
    <row r="791" customFormat="false" ht="15.75" hidden="false" customHeight="true" outlineLevel="0" collapsed="false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</row>
    <row r="792" customFormat="false" ht="15.75" hidden="false" customHeight="true" outlineLevel="0" collapsed="false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</row>
    <row r="793" customFormat="false" ht="15.75" hidden="false" customHeight="true" outlineLevel="0" collapsed="false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</row>
    <row r="794" customFormat="false" ht="15.75" hidden="false" customHeight="true" outlineLevel="0" collapsed="false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</row>
    <row r="795" customFormat="false" ht="15.75" hidden="false" customHeight="true" outlineLevel="0" collapsed="false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</row>
    <row r="796" customFormat="false" ht="15.75" hidden="false" customHeight="true" outlineLevel="0" collapsed="false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</row>
    <row r="797" customFormat="false" ht="15.75" hidden="false" customHeight="true" outlineLevel="0" collapsed="false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</row>
    <row r="798" customFormat="false" ht="15.75" hidden="false" customHeight="true" outlineLevel="0" collapsed="false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</row>
    <row r="799" customFormat="false" ht="15.75" hidden="false" customHeight="true" outlineLevel="0" collapsed="false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</row>
    <row r="800" customFormat="false" ht="15.75" hidden="false" customHeight="true" outlineLevel="0" collapsed="false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</row>
    <row r="801" customFormat="false" ht="15.75" hidden="false" customHeight="true" outlineLevel="0" collapsed="false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</row>
    <row r="802" customFormat="false" ht="15.75" hidden="false" customHeight="true" outlineLevel="0" collapsed="false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</row>
    <row r="803" customFormat="false" ht="15.75" hidden="false" customHeight="true" outlineLevel="0" collapsed="false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</row>
    <row r="804" customFormat="false" ht="15.75" hidden="false" customHeight="true" outlineLevel="0" collapsed="false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</row>
    <row r="805" customFormat="false" ht="15.75" hidden="false" customHeight="true" outlineLevel="0" collapsed="false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</row>
    <row r="806" customFormat="false" ht="15.75" hidden="false" customHeight="true" outlineLevel="0" collapsed="false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</row>
    <row r="807" customFormat="false" ht="15.75" hidden="false" customHeight="true" outlineLevel="0" collapsed="false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</row>
    <row r="808" customFormat="false" ht="15.75" hidden="false" customHeight="true" outlineLevel="0" collapsed="false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</row>
    <row r="809" customFormat="false" ht="15.75" hidden="false" customHeight="true" outlineLevel="0" collapsed="false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</row>
    <row r="810" customFormat="false" ht="15.75" hidden="false" customHeight="true" outlineLevel="0" collapsed="false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</row>
    <row r="811" customFormat="false" ht="15.75" hidden="false" customHeight="true" outlineLevel="0" collapsed="false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</row>
    <row r="812" customFormat="false" ht="15.75" hidden="false" customHeight="true" outlineLevel="0" collapsed="false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</row>
    <row r="813" customFormat="false" ht="15.75" hidden="false" customHeight="true" outlineLevel="0" collapsed="false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</row>
    <row r="814" customFormat="false" ht="15.75" hidden="false" customHeight="true" outlineLevel="0" collapsed="false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</row>
    <row r="815" customFormat="false" ht="15.75" hidden="false" customHeight="true" outlineLevel="0" collapsed="false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</row>
    <row r="816" customFormat="false" ht="15.75" hidden="false" customHeight="true" outlineLevel="0" collapsed="false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</row>
    <row r="817" customFormat="false" ht="15.75" hidden="false" customHeight="true" outlineLevel="0" collapsed="false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</row>
    <row r="818" customFormat="false" ht="15.75" hidden="false" customHeight="true" outlineLevel="0" collapsed="false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</row>
    <row r="819" customFormat="false" ht="15.75" hidden="false" customHeight="true" outlineLevel="0" collapsed="false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</row>
    <row r="820" customFormat="false" ht="15.75" hidden="false" customHeight="true" outlineLevel="0" collapsed="false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</row>
    <row r="821" customFormat="false" ht="15.75" hidden="false" customHeight="true" outlineLevel="0" collapsed="false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</row>
    <row r="822" customFormat="false" ht="15.75" hidden="false" customHeight="true" outlineLevel="0" collapsed="false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</row>
    <row r="823" customFormat="false" ht="15.75" hidden="false" customHeight="true" outlineLevel="0" collapsed="false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</row>
    <row r="824" customFormat="false" ht="15.75" hidden="false" customHeight="true" outlineLevel="0" collapsed="false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</row>
    <row r="825" customFormat="false" ht="15.75" hidden="false" customHeight="true" outlineLevel="0" collapsed="false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</row>
    <row r="826" customFormat="false" ht="15.75" hidden="false" customHeight="true" outlineLevel="0" collapsed="false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</row>
    <row r="827" customFormat="false" ht="15.75" hidden="false" customHeight="true" outlineLevel="0" collapsed="false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</row>
    <row r="828" customFormat="false" ht="15.75" hidden="false" customHeight="true" outlineLevel="0" collapsed="false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</row>
    <row r="829" customFormat="false" ht="15.75" hidden="false" customHeight="true" outlineLevel="0" collapsed="false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</row>
    <row r="830" customFormat="false" ht="15.75" hidden="false" customHeight="true" outlineLevel="0" collapsed="false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</row>
    <row r="831" customFormat="false" ht="15.75" hidden="false" customHeight="true" outlineLevel="0" collapsed="false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</row>
    <row r="832" customFormat="false" ht="15.75" hidden="false" customHeight="true" outlineLevel="0" collapsed="false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</row>
    <row r="833" customFormat="false" ht="15.75" hidden="false" customHeight="true" outlineLevel="0" collapsed="false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</row>
    <row r="834" customFormat="false" ht="15.75" hidden="false" customHeight="true" outlineLevel="0" collapsed="false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</row>
    <row r="835" customFormat="false" ht="15.75" hidden="false" customHeight="true" outlineLevel="0" collapsed="false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</row>
    <row r="836" customFormat="false" ht="15.75" hidden="false" customHeight="true" outlineLevel="0" collapsed="false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</row>
    <row r="837" customFormat="false" ht="15.75" hidden="false" customHeight="true" outlineLevel="0" collapsed="false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</row>
    <row r="838" customFormat="false" ht="15.75" hidden="false" customHeight="true" outlineLevel="0" collapsed="false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</row>
    <row r="839" customFormat="false" ht="15.75" hidden="false" customHeight="true" outlineLevel="0" collapsed="false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</row>
    <row r="840" customFormat="false" ht="15.75" hidden="false" customHeight="true" outlineLevel="0" collapsed="false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</row>
    <row r="841" customFormat="false" ht="15.75" hidden="false" customHeight="true" outlineLevel="0" collapsed="false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</row>
    <row r="842" customFormat="false" ht="15.75" hidden="false" customHeight="true" outlineLevel="0" collapsed="false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</row>
    <row r="843" customFormat="false" ht="15.75" hidden="false" customHeight="true" outlineLevel="0" collapsed="false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</row>
    <row r="844" customFormat="false" ht="15.75" hidden="false" customHeight="true" outlineLevel="0" collapsed="false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</row>
    <row r="845" customFormat="false" ht="15.75" hidden="false" customHeight="true" outlineLevel="0" collapsed="false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</row>
    <row r="846" customFormat="false" ht="15.75" hidden="false" customHeight="true" outlineLevel="0" collapsed="false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</row>
    <row r="847" customFormat="false" ht="15.75" hidden="false" customHeight="true" outlineLevel="0" collapsed="false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</row>
    <row r="848" customFormat="false" ht="15.75" hidden="false" customHeight="true" outlineLevel="0" collapsed="false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</row>
    <row r="849" customFormat="false" ht="15.75" hidden="false" customHeight="true" outlineLevel="0" collapsed="false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</row>
    <row r="850" customFormat="false" ht="15.75" hidden="false" customHeight="true" outlineLevel="0" collapsed="false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</row>
    <row r="851" customFormat="false" ht="15.75" hidden="false" customHeight="true" outlineLevel="0" collapsed="false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</row>
    <row r="852" customFormat="false" ht="15.75" hidden="false" customHeight="true" outlineLevel="0" collapsed="false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</row>
    <row r="853" customFormat="false" ht="15.75" hidden="false" customHeight="true" outlineLevel="0" collapsed="false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</row>
    <row r="854" customFormat="false" ht="15.75" hidden="false" customHeight="true" outlineLevel="0" collapsed="false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</row>
    <row r="855" customFormat="false" ht="15.75" hidden="false" customHeight="true" outlineLevel="0" collapsed="false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</row>
    <row r="856" customFormat="false" ht="15.75" hidden="false" customHeight="true" outlineLevel="0" collapsed="false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</row>
    <row r="857" customFormat="false" ht="15.75" hidden="false" customHeight="true" outlineLevel="0" collapsed="false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</row>
    <row r="858" customFormat="false" ht="15.75" hidden="false" customHeight="true" outlineLevel="0" collapsed="false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</row>
    <row r="859" customFormat="false" ht="15.75" hidden="false" customHeight="true" outlineLevel="0" collapsed="false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</row>
    <row r="860" customFormat="false" ht="15.75" hidden="false" customHeight="true" outlineLevel="0" collapsed="false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</row>
    <row r="861" customFormat="false" ht="15.75" hidden="false" customHeight="true" outlineLevel="0" collapsed="false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</row>
    <row r="862" customFormat="false" ht="15.75" hidden="false" customHeight="true" outlineLevel="0" collapsed="false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</row>
    <row r="863" customFormat="false" ht="15.75" hidden="false" customHeight="true" outlineLevel="0" collapsed="false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</row>
    <row r="864" customFormat="false" ht="15.75" hidden="false" customHeight="true" outlineLevel="0" collapsed="false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</row>
    <row r="865" customFormat="false" ht="15.75" hidden="false" customHeight="true" outlineLevel="0" collapsed="false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</row>
    <row r="866" customFormat="false" ht="15.75" hidden="false" customHeight="true" outlineLevel="0" collapsed="false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</row>
    <row r="867" customFormat="false" ht="15.75" hidden="false" customHeight="true" outlineLevel="0" collapsed="false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</row>
    <row r="868" customFormat="false" ht="15.75" hidden="false" customHeight="true" outlineLevel="0" collapsed="false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</row>
    <row r="869" customFormat="false" ht="15.75" hidden="false" customHeight="true" outlineLevel="0" collapsed="false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</row>
    <row r="870" customFormat="false" ht="15.75" hidden="false" customHeight="true" outlineLevel="0" collapsed="false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</row>
    <row r="871" customFormat="false" ht="15.75" hidden="false" customHeight="true" outlineLevel="0" collapsed="false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</row>
    <row r="872" customFormat="false" ht="15.75" hidden="false" customHeight="true" outlineLevel="0" collapsed="false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</row>
    <row r="873" customFormat="false" ht="15.75" hidden="false" customHeight="true" outlineLevel="0" collapsed="false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</row>
    <row r="874" customFormat="false" ht="15.75" hidden="false" customHeight="true" outlineLevel="0" collapsed="false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</row>
    <row r="875" customFormat="false" ht="15.75" hidden="false" customHeight="true" outlineLevel="0" collapsed="false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</row>
    <row r="876" customFormat="false" ht="15.75" hidden="false" customHeight="true" outlineLevel="0" collapsed="false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</row>
    <row r="877" customFormat="false" ht="15.75" hidden="false" customHeight="true" outlineLevel="0" collapsed="false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</row>
    <row r="878" customFormat="false" ht="15.75" hidden="false" customHeight="true" outlineLevel="0" collapsed="false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</row>
    <row r="879" customFormat="false" ht="15.75" hidden="false" customHeight="true" outlineLevel="0" collapsed="false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</row>
    <row r="880" customFormat="false" ht="15.75" hidden="false" customHeight="true" outlineLevel="0" collapsed="false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</row>
    <row r="881" customFormat="false" ht="15.75" hidden="false" customHeight="true" outlineLevel="0" collapsed="false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</row>
    <row r="882" customFormat="false" ht="15.75" hidden="false" customHeight="true" outlineLevel="0" collapsed="false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</row>
    <row r="883" customFormat="false" ht="15.75" hidden="false" customHeight="true" outlineLevel="0" collapsed="false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</row>
    <row r="884" customFormat="false" ht="15.75" hidden="false" customHeight="true" outlineLevel="0" collapsed="false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</row>
    <row r="885" customFormat="false" ht="15.75" hidden="false" customHeight="true" outlineLevel="0" collapsed="false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</row>
    <row r="886" customFormat="false" ht="15.75" hidden="false" customHeight="true" outlineLevel="0" collapsed="false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</row>
    <row r="887" customFormat="false" ht="15.75" hidden="false" customHeight="true" outlineLevel="0" collapsed="false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</row>
    <row r="888" customFormat="false" ht="15.75" hidden="false" customHeight="true" outlineLevel="0" collapsed="false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</row>
    <row r="889" customFormat="false" ht="15.75" hidden="false" customHeight="true" outlineLevel="0" collapsed="false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</row>
    <row r="890" customFormat="false" ht="15.75" hidden="false" customHeight="true" outlineLevel="0" collapsed="false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</row>
    <row r="891" customFormat="false" ht="15.75" hidden="false" customHeight="true" outlineLevel="0" collapsed="false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</row>
    <row r="892" customFormat="false" ht="15.75" hidden="false" customHeight="true" outlineLevel="0" collapsed="false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</row>
    <row r="893" customFormat="false" ht="15.75" hidden="false" customHeight="true" outlineLevel="0" collapsed="false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</row>
    <row r="894" customFormat="false" ht="15.75" hidden="false" customHeight="true" outlineLevel="0" collapsed="false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</row>
    <row r="895" customFormat="false" ht="15.75" hidden="false" customHeight="true" outlineLevel="0" collapsed="false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</row>
    <row r="896" customFormat="false" ht="15.75" hidden="false" customHeight="true" outlineLevel="0" collapsed="false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</row>
    <row r="897" customFormat="false" ht="15.75" hidden="false" customHeight="true" outlineLevel="0" collapsed="false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</row>
    <row r="898" customFormat="false" ht="15.75" hidden="false" customHeight="true" outlineLevel="0" collapsed="false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</row>
    <row r="899" customFormat="false" ht="15.75" hidden="false" customHeight="true" outlineLevel="0" collapsed="false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</row>
    <row r="900" customFormat="false" ht="15.75" hidden="false" customHeight="true" outlineLevel="0" collapsed="false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</row>
    <row r="901" customFormat="false" ht="15.75" hidden="false" customHeight="true" outlineLevel="0" collapsed="false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</row>
    <row r="902" customFormat="false" ht="15.75" hidden="false" customHeight="true" outlineLevel="0" collapsed="false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</row>
    <row r="903" customFormat="false" ht="15.75" hidden="false" customHeight="true" outlineLevel="0" collapsed="false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</row>
    <row r="904" customFormat="false" ht="15.75" hidden="false" customHeight="true" outlineLevel="0" collapsed="false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</row>
    <row r="905" customFormat="false" ht="15.75" hidden="false" customHeight="true" outlineLevel="0" collapsed="false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</row>
    <row r="906" customFormat="false" ht="15.75" hidden="false" customHeight="true" outlineLevel="0" collapsed="false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</row>
    <row r="907" customFormat="false" ht="15.75" hidden="false" customHeight="true" outlineLevel="0" collapsed="false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</row>
    <row r="908" customFormat="false" ht="15.75" hidden="false" customHeight="true" outlineLevel="0" collapsed="false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</row>
    <row r="909" customFormat="false" ht="15.75" hidden="false" customHeight="true" outlineLevel="0" collapsed="false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</row>
    <row r="910" customFormat="false" ht="15.75" hidden="false" customHeight="true" outlineLevel="0" collapsed="false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</row>
    <row r="911" customFormat="false" ht="15.75" hidden="false" customHeight="true" outlineLevel="0" collapsed="false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</row>
    <row r="912" customFormat="false" ht="15.75" hidden="false" customHeight="true" outlineLevel="0" collapsed="false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</row>
    <row r="913" customFormat="false" ht="15.75" hidden="false" customHeight="true" outlineLevel="0" collapsed="false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</row>
    <row r="914" customFormat="false" ht="15.75" hidden="false" customHeight="true" outlineLevel="0" collapsed="false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</row>
    <row r="915" customFormat="false" ht="15.75" hidden="false" customHeight="true" outlineLevel="0" collapsed="false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</row>
    <row r="916" customFormat="false" ht="15.75" hidden="false" customHeight="true" outlineLevel="0" collapsed="false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</row>
    <row r="917" customFormat="false" ht="15.75" hidden="false" customHeight="true" outlineLevel="0" collapsed="false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</row>
    <row r="918" customFormat="false" ht="15.75" hidden="false" customHeight="true" outlineLevel="0" collapsed="false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</row>
    <row r="919" customFormat="false" ht="15.75" hidden="false" customHeight="true" outlineLevel="0" collapsed="false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</row>
    <row r="920" customFormat="false" ht="15.75" hidden="false" customHeight="true" outlineLevel="0" collapsed="false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</row>
    <row r="921" customFormat="false" ht="15.75" hidden="false" customHeight="true" outlineLevel="0" collapsed="false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</row>
    <row r="922" customFormat="false" ht="15.75" hidden="false" customHeight="true" outlineLevel="0" collapsed="false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</row>
    <row r="923" customFormat="false" ht="15.75" hidden="false" customHeight="true" outlineLevel="0" collapsed="false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</row>
    <row r="924" customFormat="false" ht="15.75" hidden="false" customHeight="true" outlineLevel="0" collapsed="false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</row>
    <row r="925" customFormat="false" ht="15.75" hidden="false" customHeight="true" outlineLevel="0" collapsed="false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</row>
    <row r="926" customFormat="false" ht="15.75" hidden="false" customHeight="true" outlineLevel="0" collapsed="false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</row>
    <row r="927" customFormat="false" ht="15.75" hidden="false" customHeight="true" outlineLevel="0" collapsed="false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</row>
    <row r="928" customFormat="false" ht="15.75" hidden="false" customHeight="true" outlineLevel="0" collapsed="false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</row>
    <row r="929" customFormat="false" ht="15.75" hidden="false" customHeight="true" outlineLevel="0" collapsed="false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</row>
    <row r="930" customFormat="false" ht="15.75" hidden="false" customHeight="true" outlineLevel="0" collapsed="false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</row>
    <row r="931" customFormat="false" ht="15.75" hidden="false" customHeight="true" outlineLevel="0" collapsed="false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</row>
    <row r="932" customFormat="false" ht="15.75" hidden="false" customHeight="true" outlineLevel="0" collapsed="false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</row>
    <row r="933" customFormat="false" ht="15.75" hidden="false" customHeight="true" outlineLevel="0" collapsed="false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</row>
    <row r="934" customFormat="false" ht="15.75" hidden="false" customHeight="true" outlineLevel="0" collapsed="false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</row>
    <row r="935" customFormat="false" ht="15.75" hidden="false" customHeight="true" outlineLevel="0" collapsed="false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</row>
    <row r="936" customFormat="false" ht="15.75" hidden="false" customHeight="true" outlineLevel="0" collapsed="false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</row>
    <row r="937" customFormat="false" ht="15.75" hidden="false" customHeight="true" outlineLevel="0" collapsed="false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</row>
    <row r="938" customFormat="false" ht="15.75" hidden="false" customHeight="true" outlineLevel="0" collapsed="false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</row>
    <row r="939" customFormat="false" ht="15.75" hidden="false" customHeight="true" outlineLevel="0" collapsed="false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</row>
    <row r="940" customFormat="false" ht="15.75" hidden="false" customHeight="true" outlineLevel="0" collapsed="false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</row>
    <row r="941" customFormat="false" ht="15.75" hidden="false" customHeight="true" outlineLevel="0" collapsed="false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</row>
    <row r="942" customFormat="false" ht="15.75" hidden="false" customHeight="true" outlineLevel="0" collapsed="false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</row>
    <row r="943" customFormat="false" ht="15.75" hidden="false" customHeight="true" outlineLevel="0" collapsed="false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</row>
    <row r="944" customFormat="false" ht="15.75" hidden="false" customHeight="true" outlineLevel="0" collapsed="false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</row>
    <row r="945" customFormat="false" ht="15.75" hidden="false" customHeight="true" outlineLevel="0" collapsed="false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</row>
    <row r="946" customFormat="false" ht="15.75" hidden="false" customHeight="true" outlineLevel="0" collapsed="false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</row>
    <row r="947" customFormat="false" ht="15.75" hidden="false" customHeight="true" outlineLevel="0" collapsed="false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</row>
    <row r="948" customFormat="false" ht="15.75" hidden="false" customHeight="true" outlineLevel="0" collapsed="false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</row>
    <row r="949" customFormat="false" ht="15.75" hidden="false" customHeight="true" outlineLevel="0" collapsed="false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</row>
    <row r="950" customFormat="false" ht="15.75" hidden="false" customHeight="true" outlineLevel="0" collapsed="false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</row>
    <row r="951" customFormat="false" ht="15.75" hidden="false" customHeight="true" outlineLevel="0" collapsed="false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</row>
    <row r="952" customFormat="false" ht="15.75" hidden="false" customHeight="true" outlineLevel="0" collapsed="false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</row>
    <row r="953" customFormat="false" ht="15.75" hidden="false" customHeight="true" outlineLevel="0" collapsed="false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</row>
    <row r="954" customFormat="false" ht="15.75" hidden="false" customHeight="true" outlineLevel="0" collapsed="false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</row>
    <row r="955" customFormat="false" ht="15.75" hidden="false" customHeight="true" outlineLevel="0" collapsed="false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</row>
    <row r="956" customFormat="false" ht="15.75" hidden="false" customHeight="true" outlineLevel="0" collapsed="false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</row>
    <row r="957" customFormat="false" ht="15.75" hidden="false" customHeight="true" outlineLevel="0" collapsed="false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</row>
    <row r="958" customFormat="false" ht="15.75" hidden="false" customHeight="true" outlineLevel="0" collapsed="false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</row>
    <row r="959" customFormat="false" ht="15.75" hidden="false" customHeight="true" outlineLevel="0" collapsed="false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</row>
    <row r="960" customFormat="false" ht="15.75" hidden="false" customHeight="true" outlineLevel="0" collapsed="false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</row>
    <row r="961" customFormat="false" ht="15.75" hidden="false" customHeight="true" outlineLevel="0" collapsed="false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</row>
    <row r="962" customFormat="false" ht="15.75" hidden="false" customHeight="true" outlineLevel="0" collapsed="false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</row>
    <row r="963" customFormat="false" ht="15.75" hidden="false" customHeight="true" outlineLevel="0" collapsed="false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</row>
    <row r="964" customFormat="false" ht="15.75" hidden="false" customHeight="true" outlineLevel="0" collapsed="false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</row>
    <row r="965" customFormat="false" ht="15.75" hidden="false" customHeight="true" outlineLevel="0" collapsed="false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</row>
    <row r="966" customFormat="false" ht="15.75" hidden="false" customHeight="true" outlineLevel="0" collapsed="false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</row>
    <row r="967" customFormat="false" ht="15.75" hidden="false" customHeight="true" outlineLevel="0" collapsed="false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</row>
    <row r="968" customFormat="false" ht="15.75" hidden="false" customHeight="true" outlineLevel="0" collapsed="false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</row>
    <row r="969" customFormat="false" ht="15.75" hidden="false" customHeight="true" outlineLevel="0" collapsed="false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</row>
    <row r="970" customFormat="false" ht="15.75" hidden="false" customHeight="true" outlineLevel="0" collapsed="false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</row>
    <row r="971" customFormat="false" ht="15.75" hidden="false" customHeight="true" outlineLevel="0" collapsed="false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</row>
    <row r="972" customFormat="false" ht="15.75" hidden="false" customHeight="true" outlineLevel="0" collapsed="false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</row>
    <row r="973" customFormat="false" ht="15.75" hidden="false" customHeight="true" outlineLevel="0" collapsed="false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</row>
    <row r="974" customFormat="false" ht="15.75" hidden="false" customHeight="true" outlineLevel="0" collapsed="false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</row>
    <row r="975" customFormat="false" ht="15.75" hidden="false" customHeight="true" outlineLevel="0" collapsed="false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</row>
    <row r="976" customFormat="false" ht="15.75" hidden="false" customHeight="true" outlineLevel="0" collapsed="false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</row>
    <row r="977" customFormat="false" ht="15.75" hidden="false" customHeight="true" outlineLevel="0" collapsed="false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</row>
    <row r="978" customFormat="false" ht="15.75" hidden="false" customHeight="true" outlineLevel="0" collapsed="false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</row>
    <row r="979" customFormat="false" ht="15.75" hidden="false" customHeight="true" outlineLevel="0" collapsed="false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</row>
    <row r="980" customFormat="false" ht="15.75" hidden="false" customHeight="true" outlineLevel="0" collapsed="false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</row>
    <row r="981" customFormat="false" ht="15.75" hidden="false" customHeight="true" outlineLevel="0" collapsed="false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</row>
    <row r="982" customFormat="false" ht="15.75" hidden="false" customHeight="true" outlineLevel="0" collapsed="false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</row>
    <row r="983" customFormat="false" ht="15.75" hidden="false" customHeight="true" outlineLevel="0" collapsed="false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</row>
    <row r="984" customFormat="false" ht="15.75" hidden="false" customHeight="true" outlineLevel="0" collapsed="false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</row>
    <row r="985" customFormat="false" ht="15.75" hidden="false" customHeight="true" outlineLevel="0" collapsed="false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</row>
    <row r="986" customFormat="false" ht="15.75" hidden="false" customHeight="true" outlineLevel="0" collapsed="false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</row>
    <row r="987" customFormat="false" ht="15.75" hidden="false" customHeight="true" outlineLevel="0" collapsed="false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</row>
    <row r="988" customFormat="false" ht="15.75" hidden="false" customHeight="true" outlineLevel="0" collapsed="false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</row>
    <row r="989" customFormat="false" ht="15.75" hidden="false" customHeight="true" outlineLevel="0" collapsed="false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</row>
  </sheetData>
  <mergeCells count="7">
    <mergeCell ref="A10:M10"/>
    <mergeCell ref="N10:N11"/>
    <mergeCell ref="A16:M16"/>
    <mergeCell ref="N16:N17"/>
    <mergeCell ref="A22:M22"/>
    <mergeCell ref="N22:N23"/>
    <mergeCell ref="A35:M35"/>
  </mergeCells>
  <conditionalFormatting sqref="B32:M32">
    <cfRule type="cellIs" priority="2" operator="equal" aboveAverage="0" equalAverage="0" bottom="0" percent="0" rank="0" text="" dxfId="2">
      <formula>0</formula>
    </cfRule>
    <cfRule type="cellIs" priority="3" operator="greaterThan" aboveAverage="0" equalAverage="0" bottom="0" percent="0" rank="0" text="" dxfId="0">
      <formula>0</formula>
    </cfRule>
    <cfRule type="cellIs" priority="4" operator="lessThan" aboveAverage="0" equalAverage="0" bottom="0" percent="0" rank="0" text="" dxfId="1">
      <formula>0</formula>
    </cfRule>
  </conditionalFormatting>
  <dataValidations count="1">
    <dataValidation allowBlank="true" errorStyle="stop" operator="between" prompt="Enter a valid date" showDropDown="true" showErrorMessage="false" showInputMessage="true" sqref="B28" type="custom">
      <formula1>OR(NOT(ISERROR(DATEVALUE(B28))), AND(ISNUMBER(B28), LEFT(CELL("format", B28))="D"))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LibreOffice/26.2.5.2$MacOSX_AARCH64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2026-10-05T02:54:51Z</dcterms:created>
  <dc:creator>openpyxl</dc:creator>
  <dc:description/>
  <dc:language>en-US</dc:language>
  <cp:lastModifiedBy/>
  <dcterms:modified xsi:type="dcterms:W3CDTF">2026-10-05T17:18:28Z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